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imon\Desktop\Pig Stuff\"/>
    </mc:Choice>
  </mc:AlternateContent>
  <xr:revisionPtr revIDLastSave="0" documentId="13_ncr:1_{419E6FCF-74E1-4371-BABB-3AEC03ECD3BA}" xr6:coauthVersionLast="45" xr6:coauthVersionMax="45" xr10:uidLastSave="{00000000-0000-0000-0000-000000000000}"/>
  <bookViews>
    <workbookView xWindow="-120" yWindow="225" windowWidth="20730" windowHeight="11415" firstSheet="5" activeTab="5" xr2:uid="{00000000-000D-0000-FFFF-FFFF00000000}"/>
  </bookViews>
  <sheets>
    <sheet name="F&amp;V" sheetId="1" r:id="rId1"/>
    <sheet name="PIGGERY" sheetId="2" r:id="rId2"/>
    <sheet name="CATTLE" sheetId="3" r:id="rId3"/>
    <sheet name="SHEEP" sheetId="4" r:id="rId4"/>
    <sheet name="poultry" sheetId="6" r:id="rId5"/>
    <sheet name="Revised Pigs" sheetId="5" r:id="rId6"/>
    <sheet name="Revised Cattle" sheetId="9" r:id="rId7"/>
    <sheet name="Revised Chickens" sheetId="10" r:id="rId8"/>
    <sheet name="Revised Eggs" sheetId="11" r:id="rId9"/>
    <sheet name="Revised Sheep" sheetId="13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173" i="9" l="1"/>
  <c r="D98" i="9"/>
  <c r="H98" i="9" s="1"/>
  <c r="H96" i="9"/>
  <c r="B29" i="5"/>
  <c r="D29" i="5" s="1"/>
  <c r="D27" i="5"/>
  <c r="D28" i="13"/>
  <c r="D26" i="13"/>
  <c r="B28" i="13"/>
  <c r="G14" i="13"/>
  <c r="G22" i="13" s="1"/>
  <c r="G37" i="13" s="1"/>
  <c r="F14" i="13"/>
  <c r="F22" i="13" s="1"/>
  <c r="F37" i="13" s="1"/>
  <c r="E14" i="13"/>
  <c r="E22" i="13" s="1"/>
  <c r="E37" i="13" s="1"/>
  <c r="D14" i="13"/>
  <c r="D22" i="13" s="1"/>
  <c r="D37" i="13" s="1"/>
  <c r="C14" i="13"/>
  <c r="C22" i="13" s="1"/>
  <c r="C37" i="13" s="1"/>
  <c r="G9" i="13"/>
  <c r="G12" i="13" s="1"/>
  <c r="F9" i="13"/>
  <c r="F12" i="13" s="1"/>
  <c r="F13" i="13" s="1"/>
  <c r="E9" i="13"/>
  <c r="E12" i="13" s="1"/>
  <c r="D9" i="13"/>
  <c r="D12" i="13" s="1"/>
  <c r="C9" i="13"/>
  <c r="C12" i="13" s="1"/>
  <c r="I42" i="11"/>
  <c r="I45" i="11" s="1"/>
  <c r="H42" i="11"/>
  <c r="H45" i="11" s="1"/>
  <c r="G42" i="11"/>
  <c r="G45" i="11" s="1"/>
  <c r="F42" i="11"/>
  <c r="F45" i="11" s="1"/>
  <c r="E42" i="11"/>
  <c r="E45" i="11" s="1"/>
  <c r="I35" i="11"/>
  <c r="H35" i="11"/>
  <c r="G35" i="11"/>
  <c r="F35" i="11"/>
  <c r="E35" i="11"/>
  <c r="I22" i="11"/>
  <c r="H22" i="11"/>
  <c r="G22" i="11"/>
  <c r="F22" i="11"/>
  <c r="E22" i="11"/>
  <c r="I12" i="11"/>
  <c r="I14" i="11" s="1"/>
  <c r="H12" i="11"/>
  <c r="G12" i="11"/>
  <c r="G14" i="11" s="1"/>
  <c r="G15" i="11" s="1"/>
  <c r="G16" i="11" s="1"/>
  <c r="F12" i="11"/>
  <c r="F14" i="11" s="1"/>
  <c r="E12" i="11"/>
  <c r="E14" i="11" s="1"/>
  <c r="I28" i="10"/>
  <c r="H28" i="10"/>
  <c r="G28" i="10"/>
  <c r="F28" i="10"/>
  <c r="E28" i="10"/>
  <c r="I19" i="10"/>
  <c r="H19" i="10"/>
  <c r="G19" i="10"/>
  <c r="F19" i="10"/>
  <c r="E19" i="10"/>
  <c r="I16" i="10"/>
  <c r="H16" i="10"/>
  <c r="G16" i="10"/>
  <c r="F16" i="10"/>
  <c r="E16" i="10"/>
  <c r="I7" i="10"/>
  <c r="I9" i="10" s="1"/>
  <c r="I10" i="10" s="1"/>
  <c r="H7" i="10"/>
  <c r="H9" i="10" s="1"/>
  <c r="G7" i="10"/>
  <c r="F7" i="10"/>
  <c r="F9" i="10" s="1"/>
  <c r="E7" i="10"/>
  <c r="E9" i="10" s="1"/>
  <c r="E10" i="10" s="1"/>
  <c r="G14" i="5"/>
  <c r="F14" i="5"/>
  <c r="E14" i="5"/>
  <c r="D14" i="5"/>
  <c r="C14" i="5"/>
  <c r="C22" i="5" s="1"/>
  <c r="C36" i="5" s="1"/>
  <c r="C47" i="5"/>
  <c r="C49" i="5" s="1"/>
  <c r="C52" i="5" s="1"/>
  <c r="C55" i="5" s="1"/>
  <c r="B47" i="5"/>
  <c r="B49" i="5" s="1"/>
  <c r="B52" i="5" s="1"/>
  <c r="B55" i="5" s="1"/>
  <c r="W161" i="9"/>
  <c r="W143" i="9"/>
  <c r="U161" i="9"/>
  <c r="U143" i="9"/>
  <c r="S161" i="9"/>
  <c r="S143" i="9"/>
  <c r="Q161" i="9"/>
  <c r="Q143" i="9"/>
  <c r="O161" i="9"/>
  <c r="O143" i="9"/>
  <c r="M161" i="9"/>
  <c r="M143" i="9"/>
  <c r="K161" i="9"/>
  <c r="K143" i="9"/>
  <c r="I161" i="9"/>
  <c r="I143" i="9"/>
  <c r="D16" i="9"/>
  <c r="E139" i="9" s="1"/>
  <c r="D23" i="9"/>
  <c r="E138" i="9" s="1"/>
  <c r="E161" i="9"/>
  <c r="E143" i="9"/>
  <c r="E140" i="9"/>
  <c r="E137" i="9"/>
  <c r="E136" i="9"/>
  <c r="E134" i="9"/>
  <c r="G161" i="9"/>
  <c r="G143" i="9"/>
  <c r="E104" i="9"/>
  <c r="E108" i="9" s="1"/>
  <c r="E165" i="9" s="1"/>
  <c r="F20" i="9"/>
  <c r="H19" i="9" s="1"/>
  <c r="F12" i="9"/>
  <c r="G77" i="9" s="1"/>
  <c r="F21" i="9"/>
  <c r="G84" i="9" s="1"/>
  <c r="F19" i="9"/>
  <c r="F7" i="9"/>
  <c r="G134" i="9" s="1"/>
  <c r="W119" i="9"/>
  <c r="W160" i="9" s="1"/>
  <c r="U119" i="9"/>
  <c r="U160" i="9" s="1"/>
  <c r="S119" i="9"/>
  <c r="S160" i="9" s="1"/>
  <c r="Q119" i="9"/>
  <c r="Q160" i="9" s="1"/>
  <c r="O119" i="9"/>
  <c r="O160" i="9" s="1"/>
  <c r="M119" i="9"/>
  <c r="M160" i="9" s="1"/>
  <c r="K119" i="9"/>
  <c r="K160" i="9" s="1"/>
  <c r="I119" i="9"/>
  <c r="I160" i="9" s="1"/>
  <c r="G119" i="9"/>
  <c r="G160" i="9" s="1"/>
  <c r="E119" i="9"/>
  <c r="E160" i="9" s="1"/>
  <c r="W113" i="9"/>
  <c r="W159" i="9" s="1"/>
  <c r="U113" i="9"/>
  <c r="U159" i="9" s="1"/>
  <c r="S113" i="9"/>
  <c r="S159" i="9" s="1"/>
  <c r="Q113" i="9"/>
  <c r="Q159" i="9" s="1"/>
  <c r="O113" i="9"/>
  <c r="O159" i="9" s="1"/>
  <c r="M113" i="9"/>
  <c r="M159" i="9" s="1"/>
  <c r="K113" i="9"/>
  <c r="K159" i="9" s="1"/>
  <c r="I113" i="9"/>
  <c r="I159" i="9" s="1"/>
  <c r="G113" i="9"/>
  <c r="G159" i="9" s="1"/>
  <c r="E113" i="9"/>
  <c r="E159" i="9" s="1"/>
  <c r="W107" i="9"/>
  <c r="W158" i="9" s="1"/>
  <c r="U107" i="9"/>
  <c r="U158" i="9" s="1"/>
  <c r="S107" i="9"/>
  <c r="S158" i="9" s="1"/>
  <c r="Q107" i="9"/>
  <c r="Q158" i="9" s="1"/>
  <c r="O107" i="9"/>
  <c r="O158" i="9" s="1"/>
  <c r="M107" i="9"/>
  <c r="M158" i="9" s="1"/>
  <c r="K107" i="9"/>
  <c r="K158" i="9" s="1"/>
  <c r="I107" i="9"/>
  <c r="I158" i="9" s="1"/>
  <c r="G107" i="9"/>
  <c r="G158" i="9" s="1"/>
  <c r="E107" i="9"/>
  <c r="E158" i="9" s="1"/>
  <c r="E89" i="9"/>
  <c r="E116" i="9" s="1"/>
  <c r="E154" i="9" s="1"/>
  <c r="E85" i="9"/>
  <c r="E84" i="9"/>
  <c r="E83" i="9"/>
  <c r="E82" i="9"/>
  <c r="E80" i="9"/>
  <c r="E79" i="9"/>
  <c r="E78" i="9"/>
  <c r="E77" i="9"/>
  <c r="E76" i="9"/>
  <c r="D73" i="9"/>
  <c r="F73" i="9" s="1"/>
  <c r="H73" i="9" s="1"/>
  <c r="J73" i="9" s="1"/>
  <c r="L73" i="9" s="1"/>
  <c r="N73" i="9" s="1"/>
  <c r="P73" i="9" s="1"/>
  <c r="R73" i="9" s="1"/>
  <c r="T73" i="9" s="1"/>
  <c r="V73" i="9" s="1"/>
  <c r="X73" i="9" s="1"/>
  <c r="D60" i="9"/>
  <c r="D59" i="9"/>
  <c r="D58" i="9"/>
  <c r="D57" i="9"/>
  <c r="E31" i="9"/>
  <c r="F22" i="9" s="1"/>
  <c r="D28" i="9"/>
  <c r="E26" i="9"/>
  <c r="F25" i="9"/>
  <c r="H25" i="9" s="1"/>
  <c r="F14" i="9"/>
  <c r="H13" i="9" s="1"/>
  <c r="J12" i="9" s="1"/>
  <c r="F13" i="9"/>
  <c r="G78" i="9" s="1"/>
  <c r="G9" i="5"/>
  <c r="F9" i="5"/>
  <c r="E9" i="5"/>
  <c r="D9" i="5"/>
  <c r="C9" i="5"/>
  <c r="C12" i="5" s="1"/>
  <c r="C13" i="5" s="1"/>
  <c r="C56" i="5" l="1"/>
  <c r="E13" i="13"/>
  <c r="E15" i="13" s="1"/>
  <c r="E40" i="13" s="1"/>
  <c r="D15" i="13"/>
  <c r="D40" i="13" s="1"/>
  <c r="D13" i="13"/>
  <c r="C13" i="13"/>
  <c r="C15" i="13" s="1"/>
  <c r="C40" i="13" s="1"/>
  <c r="G13" i="13"/>
  <c r="G15" i="13" s="1"/>
  <c r="G40" i="13" s="1"/>
  <c r="F15" i="13"/>
  <c r="F40" i="13" s="1"/>
  <c r="H14" i="11"/>
  <c r="H15" i="11" s="1"/>
  <c r="H16" i="11" s="1"/>
  <c r="H25" i="11" s="1"/>
  <c r="H27" i="11" s="1"/>
  <c r="G36" i="11"/>
  <c r="G38" i="11" s="1"/>
  <c r="G31" i="11"/>
  <c r="G33" i="11" s="1"/>
  <c r="G17" i="11"/>
  <c r="G48" i="11" s="1"/>
  <c r="G25" i="11"/>
  <c r="G27" i="11" s="1"/>
  <c r="F15" i="11"/>
  <c r="F16" i="11" s="1"/>
  <c r="E15" i="11"/>
  <c r="E16" i="11" s="1"/>
  <c r="I15" i="11"/>
  <c r="I16" i="11" s="1"/>
  <c r="G9" i="10"/>
  <c r="G10" i="10" s="1"/>
  <c r="G12" i="10" s="1"/>
  <c r="G36" i="10" s="1"/>
  <c r="E12" i="10"/>
  <c r="E36" i="10" s="1"/>
  <c r="I12" i="10"/>
  <c r="I36" i="10" s="1"/>
  <c r="F10" i="10"/>
  <c r="H10" i="10"/>
  <c r="F15" i="9"/>
  <c r="H14" i="9" s="1"/>
  <c r="E91" i="9"/>
  <c r="F10" i="9" s="1"/>
  <c r="H12" i="9"/>
  <c r="H7" i="9"/>
  <c r="J7" i="9" s="1"/>
  <c r="K134" i="9" s="1"/>
  <c r="J25" i="9"/>
  <c r="I137" i="9"/>
  <c r="G137" i="9"/>
  <c r="H20" i="9"/>
  <c r="I83" i="9" s="1"/>
  <c r="G104" i="9"/>
  <c r="G152" i="9" s="1"/>
  <c r="E152" i="9"/>
  <c r="E87" i="9"/>
  <c r="E32" i="9" s="1"/>
  <c r="E144" i="9" s="1"/>
  <c r="E145" i="9"/>
  <c r="E141" i="9"/>
  <c r="G83" i="9"/>
  <c r="G82" i="9"/>
  <c r="D61" i="9"/>
  <c r="E120" i="9"/>
  <c r="E167" i="9" s="1"/>
  <c r="I78" i="9"/>
  <c r="F58" i="9"/>
  <c r="G79" i="9"/>
  <c r="I82" i="9"/>
  <c r="F60" i="9"/>
  <c r="F59" i="9"/>
  <c r="E12" i="5"/>
  <c r="E13" i="5" s="1"/>
  <c r="E15" i="5" s="1"/>
  <c r="E22" i="5"/>
  <c r="E36" i="5" s="1"/>
  <c r="D22" i="5"/>
  <c r="D36" i="5" s="1"/>
  <c r="C15" i="5"/>
  <c r="C39" i="5" s="1"/>
  <c r="D12" i="5"/>
  <c r="F22" i="5"/>
  <c r="F36" i="5" s="1"/>
  <c r="E39" i="5" l="1"/>
  <c r="E20" i="13"/>
  <c r="E19" i="13"/>
  <c r="E21" i="13"/>
  <c r="E36" i="13" s="1"/>
  <c r="G21" i="13"/>
  <c r="G36" i="13" s="1"/>
  <c r="G20" i="13"/>
  <c r="G19" i="13"/>
  <c r="F21" i="13"/>
  <c r="F36" i="13" s="1"/>
  <c r="F19" i="13"/>
  <c r="F20" i="13"/>
  <c r="D21" i="13"/>
  <c r="D36" i="13" s="1"/>
  <c r="D20" i="13"/>
  <c r="D19" i="13"/>
  <c r="C19" i="13"/>
  <c r="C20" i="13"/>
  <c r="C21" i="13"/>
  <c r="C36" i="13" s="1"/>
  <c r="H17" i="11"/>
  <c r="H48" i="11" s="1"/>
  <c r="H31" i="11"/>
  <c r="H33" i="11" s="1"/>
  <c r="H36" i="11"/>
  <c r="H38" i="11" s="1"/>
  <c r="F31" i="11"/>
  <c r="F33" i="11" s="1"/>
  <c r="F17" i="11"/>
  <c r="F48" i="11" s="1"/>
  <c r="F25" i="11"/>
  <c r="F27" i="11" s="1"/>
  <c r="F36" i="11"/>
  <c r="F38" i="11" s="1"/>
  <c r="E36" i="11"/>
  <c r="E38" i="11" s="1"/>
  <c r="E25" i="11"/>
  <c r="E27" i="11" s="1"/>
  <c r="E31" i="11"/>
  <c r="E33" i="11" s="1"/>
  <c r="E17" i="11"/>
  <c r="E48" i="11" s="1"/>
  <c r="I31" i="11"/>
  <c r="I33" i="11" s="1"/>
  <c r="I25" i="11"/>
  <c r="I27" i="11" s="1"/>
  <c r="I36" i="11"/>
  <c r="I38" i="11" s="1"/>
  <c r="I17" i="11"/>
  <c r="I48" i="11" s="1"/>
  <c r="G47" i="11"/>
  <c r="G49" i="11" s="1"/>
  <c r="I22" i="10"/>
  <c r="I25" i="10" s="1"/>
  <c r="I24" i="10" s="1"/>
  <c r="I29" i="10"/>
  <c r="I32" i="10" s="1"/>
  <c r="I31" i="10" s="1"/>
  <c r="G22" i="10"/>
  <c r="G25" i="10" s="1"/>
  <c r="G24" i="10" s="1"/>
  <c r="G29" i="10"/>
  <c r="G32" i="10" s="1"/>
  <c r="G31" i="10" s="1"/>
  <c r="E29" i="10"/>
  <c r="E32" i="10" s="1"/>
  <c r="E31" i="10" s="1"/>
  <c r="E22" i="10"/>
  <c r="E25" i="10" s="1"/>
  <c r="E24" i="10" s="1"/>
  <c r="F12" i="10"/>
  <c r="F36" i="10" s="1"/>
  <c r="H12" i="10"/>
  <c r="H36" i="10" s="1"/>
  <c r="G80" i="9"/>
  <c r="G136" i="9"/>
  <c r="E110" i="9"/>
  <c r="E153" i="9" s="1"/>
  <c r="F16" i="9"/>
  <c r="G139" i="9" s="1"/>
  <c r="G76" i="9"/>
  <c r="F28" i="9"/>
  <c r="F57" i="9"/>
  <c r="F61" i="9" s="1"/>
  <c r="G31" i="9"/>
  <c r="I134" i="9"/>
  <c r="L7" i="9"/>
  <c r="M134" i="9" s="1"/>
  <c r="G26" i="9"/>
  <c r="G89" i="9"/>
  <c r="G108" i="9"/>
  <c r="G165" i="9" s="1"/>
  <c r="L25" i="9"/>
  <c r="K137" i="9"/>
  <c r="F23" i="9"/>
  <c r="G138" i="9" s="1"/>
  <c r="E122" i="9"/>
  <c r="E123" i="9" s="1"/>
  <c r="E168" i="9" s="1"/>
  <c r="I104" i="9"/>
  <c r="I152" i="9" s="1"/>
  <c r="J19" i="9"/>
  <c r="K82" i="9" s="1"/>
  <c r="D63" i="9"/>
  <c r="E146" i="9" s="1"/>
  <c r="G85" i="9"/>
  <c r="H21" i="9"/>
  <c r="H60" i="9" s="1"/>
  <c r="G140" i="9"/>
  <c r="H59" i="9"/>
  <c r="I77" i="9"/>
  <c r="H58" i="9"/>
  <c r="J13" i="9"/>
  <c r="L12" i="9" s="1"/>
  <c r="I79" i="9"/>
  <c r="K77" i="9"/>
  <c r="E21" i="5"/>
  <c r="E35" i="5" s="1"/>
  <c r="E20" i="5"/>
  <c r="E34" i="5" s="1"/>
  <c r="E19" i="5"/>
  <c r="E33" i="5" s="1"/>
  <c r="C21" i="5"/>
  <c r="C35" i="5" s="1"/>
  <c r="C19" i="5"/>
  <c r="C33" i="5" s="1"/>
  <c r="C20" i="5"/>
  <c r="C34" i="5" s="1"/>
  <c r="D13" i="5"/>
  <c r="D15" i="5" s="1"/>
  <c r="D39" i="5" s="1"/>
  <c r="G22" i="5"/>
  <c r="G36" i="5" s="1"/>
  <c r="F12" i="5"/>
  <c r="H47" i="11" l="1"/>
  <c r="H49" i="11" s="1"/>
  <c r="G87" i="9"/>
  <c r="G32" i="9" s="1"/>
  <c r="G144" i="9" s="1"/>
  <c r="I47" i="11"/>
  <c r="I49" i="11" s="1"/>
  <c r="E47" i="11"/>
  <c r="E49" i="11" s="1"/>
  <c r="F47" i="11"/>
  <c r="F49" i="11" s="1"/>
  <c r="E35" i="10"/>
  <c r="G35" i="10"/>
  <c r="I35" i="10"/>
  <c r="H22" i="10"/>
  <c r="H25" i="10" s="1"/>
  <c r="H24" i="10" s="1"/>
  <c r="H29" i="10"/>
  <c r="H32" i="10" s="1"/>
  <c r="H31" i="10" s="1"/>
  <c r="F29" i="10"/>
  <c r="F32" i="10" s="1"/>
  <c r="F31" i="10" s="1"/>
  <c r="F22" i="10"/>
  <c r="F25" i="10" s="1"/>
  <c r="F24" i="10" s="1"/>
  <c r="C38" i="5"/>
  <c r="H15" i="9"/>
  <c r="I80" i="9" s="1"/>
  <c r="H22" i="9"/>
  <c r="G91" i="9"/>
  <c r="G110" i="9" s="1"/>
  <c r="G153" i="9" s="1"/>
  <c r="N7" i="9"/>
  <c r="O134" i="9" s="1"/>
  <c r="E114" i="9"/>
  <c r="E34" i="9" s="1"/>
  <c r="G116" i="9"/>
  <c r="G120" i="9" s="1"/>
  <c r="G167" i="9" s="1"/>
  <c r="G145" i="9"/>
  <c r="G141" i="9"/>
  <c r="E155" i="9"/>
  <c r="N25" i="9"/>
  <c r="M137" i="9"/>
  <c r="E35" i="9"/>
  <c r="E127" i="9"/>
  <c r="E151" i="9" s="1"/>
  <c r="E175" i="9" s="1"/>
  <c r="I108" i="9"/>
  <c r="I165" i="9" s="1"/>
  <c r="J58" i="9"/>
  <c r="E38" i="5"/>
  <c r="I84" i="9"/>
  <c r="J20" i="9"/>
  <c r="L19" i="9" s="1"/>
  <c r="M82" i="9" s="1"/>
  <c r="D64" i="9"/>
  <c r="F64" i="9"/>
  <c r="F63" i="9"/>
  <c r="G146" i="9" s="1"/>
  <c r="K78" i="9"/>
  <c r="D21" i="5"/>
  <c r="D35" i="5" s="1"/>
  <c r="D20" i="5"/>
  <c r="D34" i="5" s="1"/>
  <c r="D19" i="5"/>
  <c r="D33" i="5" s="1"/>
  <c r="F13" i="5"/>
  <c r="F15" i="5" s="1"/>
  <c r="F39" i="5" s="1"/>
  <c r="G12" i="5"/>
  <c r="P7" i="9" l="1"/>
  <c r="H10" i="9"/>
  <c r="I76" i="9" s="1"/>
  <c r="H35" i="10"/>
  <c r="F35" i="10"/>
  <c r="D38" i="5"/>
  <c r="E166" i="9"/>
  <c r="G122" i="9"/>
  <c r="G155" i="9" s="1"/>
  <c r="J14" i="9"/>
  <c r="K79" i="9" s="1"/>
  <c r="G154" i="9"/>
  <c r="J21" i="9"/>
  <c r="L20" i="9" s="1"/>
  <c r="N19" i="9" s="1"/>
  <c r="I85" i="9"/>
  <c r="I140" i="9"/>
  <c r="H23" i="9"/>
  <c r="I138" i="9" s="1"/>
  <c r="R7" i="9"/>
  <c r="Q134" i="9"/>
  <c r="P25" i="9"/>
  <c r="O137" i="9"/>
  <c r="M104" i="9"/>
  <c r="M152" i="9" s="1"/>
  <c r="J59" i="9"/>
  <c r="E125" i="9"/>
  <c r="E126" i="9" s="1"/>
  <c r="E169" i="9"/>
  <c r="K104" i="9"/>
  <c r="K152" i="9" s="1"/>
  <c r="K83" i="9"/>
  <c r="G114" i="9"/>
  <c r="M77" i="9"/>
  <c r="L58" i="9"/>
  <c r="F21" i="5"/>
  <c r="F35" i="5" s="1"/>
  <c r="F20" i="5"/>
  <c r="F34" i="5" s="1"/>
  <c r="F19" i="5"/>
  <c r="F33" i="5" s="1"/>
  <c r="G13" i="5"/>
  <c r="G15" i="5" s="1"/>
  <c r="G39" i="5" s="1"/>
  <c r="E174" i="9" l="1"/>
  <c r="E173" i="9"/>
  <c r="H57" i="9"/>
  <c r="H61" i="9" s="1"/>
  <c r="H63" i="9" s="1"/>
  <c r="I146" i="9" s="1"/>
  <c r="I31" i="9"/>
  <c r="J22" i="9" s="1"/>
  <c r="I26" i="9"/>
  <c r="H16" i="9"/>
  <c r="I139" i="9" s="1"/>
  <c r="H28" i="9"/>
  <c r="I89" i="9"/>
  <c r="I145" i="9" s="1"/>
  <c r="I136" i="9"/>
  <c r="G123" i="9"/>
  <c r="G168" i="9" s="1"/>
  <c r="G127" i="9"/>
  <c r="G151" i="9" s="1"/>
  <c r="G175" i="9" s="1"/>
  <c r="G35" i="9"/>
  <c r="L13" i="9"/>
  <c r="N12" i="9" s="1"/>
  <c r="J60" i="9"/>
  <c r="K84" i="9"/>
  <c r="I87" i="9"/>
  <c r="R25" i="9"/>
  <c r="Q137" i="9"/>
  <c r="T7" i="9"/>
  <c r="S134" i="9"/>
  <c r="F38" i="5"/>
  <c r="G166" i="9"/>
  <c r="H64" i="9"/>
  <c r="K108" i="9"/>
  <c r="K165" i="9" s="1"/>
  <c r="M83" i="9"/>
  <c r="G21" i="5"/>
  <c r="G35" i="5" s="1"/>
  <c r="G20" i="5"/>
  <c r="G34" i="5" s="1"/>
  <c r="G19" i="5"/>
  <c r="G33" i="5" s="1"/>
  <c r="I91" i="9" l="1"/>
  <c r="I110" i="9" s="1"/>
  <c r="I153" i="9" s="1"/>
  <c r="G34" i="9"/>
  <c r="G169" i="9" s="1"/>
  <c r="I141" i="9"/>
  <c r="I116" i="9"/>
  <c r="I154" i="9" s="1"/>
  <c r="J15" i="9"/>
  <c r="K140" i="9" s="1"/>
  <c r="I32" i="9"/>
  <c r="I144" i="9" s="1"/>
  <c r="M78" i="9"/>
  <c r="L59" i="9"/>
  <c r="U134" i="9"/>
  <c r="V7" i="9"/>
  <c r="T25" i="9"/>
  <c r="S137" i="9"/>
  <c r="G38" i="5"/>
  <c r="G125" i="9"/>
  <c r="G126" i="9" s="1"/>
  <c r="L21" i="9"/>
  <c r="N20" i="9" s="1"/>
  <c r="O82" i="9"/>
  <c r="N58" i="9"/>
  <c r="O77" i="9"/>
  <c r="K85" i="9"/>
  <c r="J23" i="9"/>
  <c r="K138" i="9" s="1"/>
  <c r="G174" i="9" l="1"/>
  <c r="G173" i="9"/>
  <c r="J10" i="9"/>
  <c r="J28" i="9" s="1"/>
  <c r="I114" i="9"/>
  <c r="I166" i="9" s="1"/>
  <c r="L14" i="9"/>
  <c r="M79" i="9" s="1"/>
  <c r="I122" i="9"/>
  <c r="I155" i="9" s="1"/>
  <c r="K80" i="9"/>
  <c r="I120" i="9"/>
  <c r="I167" i="9" s="1"/>
  <c r="W134" i="9"/>
  <c r="X7" i="9"/>
  <c r="V25" i="9"/>
  <c r="U137" i="9"/>
  <c r="O104" i="9"/>
  <c r="O152" i="9" s="1"/>
  <c r="P19" i="9"/>
  <c r="K26" i="9"/>
  <c r="M84" i="9"/>
  <c r="L60" i="9"/>
  <c r="I127" i="9" l="1"/>
  <c r="I151" i="9" s="1"/>
  <c r="I175" i="9" s="1"/>
  <c r="I123" i="9"/>
  <c r="I168" i="9" s="1"/>
  <c r="I35" i="9"/>
  <c r="K136" i="9"/>
  <c r="J16" i="9"/>
  <c r="K139" i="9" s="1"/>
  <c r="K76" i="9"/>
  <c r="K31" i="9"/>
  <c r="L15" i="9" s="1"/>
  <c r="K89" i="9"/>
  <c r="K145" i="9" s="1"/>
  <c r="J57" i="9"/>
  <c r="J61" i="9" s="1"/>
  <c r="J63" i="9" s="1"/>
  <c r="K146" i="9" s="1"/>
  <c r="N13" i="9"/>
  <c r="P12" i="9" s="1"/>
  <c r="X25" i="9"/>
  <c r="W137" i="9"/>
  <c r="I34" i="9"/>
  <c r="M108" i="9"/>
  <c r="M165" i="9" s="1"/>
  <c r="O83" i="9"/>
  <c r="L22" i="9" l="1"/>
  <c r="K122" i="9" s="1"/>
  <c r="K141" i="9"/>
  <c r="K116" i="9"/>
  <c r="K120" i="9" s="1"/>
  <c r="K167" i="9" s="1"/>
  <c r="K91" i="9"/>
  <c r="L10" i="9" s="1"/>
  <c r="L57" i="9" s="1"/>
  <c r="L61" i="9" s="1"/>
  <c r="K87" i="9"/>
  <c r="K32" i="9" s="1"/>
  <c r="K144" i="9" s="1"/>
  <c r="J64" i="9"/>
  <c r="O78" i="9"/>
  <c r="N59" i="9"/>
  <c r="L23" i="9"/>
  <c r="M138" i="9" s="1"/>
  <c r="N14" i="9"/>
  <c r="P13" i="9" s="1"/>
  <c r="R12" i="9" s="1"/>
  <c r="M80" i="9"/>
  <c r="M85" i="9"/>
  <c r="K123" i="9"/>
  <c r="K168" i="9" s="1"/>
  <c r="K155" i="9"/>
  <c r="I125" i="9"/>
  <c r="I126" i="9" s="1"/>
  <c r="I169" i="9"/>
  <c r="N21" i="9"/>
  <c r="P20" i="9" s="1"/>
  <c r="M140" i="9"/>
  <c r="Q82" i="9"/>
  <c r="Q77" i="9"/>
  <c r="P58" i="9"/>
  <c r="O108" i="9"/>
  <c r="O165" i="9" s="1"/>
  <c r="K110" i="9" l="1"/>
  <c r="I174" i="9"/>
  <c r="I173" i="9"/>
  <c r="M31" i="9"/>
  <c r="N15" i="9" s="1"/>
  <c r="L28" i="9"/>
  <c r="L16" i="9"/>
  <c r="M139" i="9" s="1"/>
  <c r="M89" i="9"/>
  <c r="M145" i="9" s="1"/>
  <c r="M26" i="9"/>
  <c r="M76" i="9"/>
  <c r="M87" i="9" s="1"/>
  <c r="K154" i="9"/>
  <c r="M136" i="9"/>
  <c r="O79" i="9"/>
  <c r="O84" i="9"/>
  <c r="N60" i="9"/>
  <c r="Q104" i="9"/>
  <c r="Q152" i="9" s="1"/>
  <c r="R19" i="9"/>
  <c r="L64" i="9"/>
  <c r="L63" i="9"/>
  <c r="M146" i="9" s="1"/>
  <c r="K127" i="9"/>
  <c r="K151" i="9" s="1"/>
  <c r="K175" i="9" s="1"/>
  <c r="K153" i="9"/>
  <c r="K35" i="9"/>
  <c r="K114" i="9"/>
  <c r="Q78" i="9"/>
  <c r="P59" i="9"/>
  <c r="Q83" i="9"/>
  <c r="M116" i="9" l="1"/>
  <c r="M154" i="9" s="1"/>
  <c r="M91" i="9"/>
  <c r="M110" i="9" s="1"/>
  <c r="M153" i="9" s="1"/>
  <c r="M141" i="9"/>
  <c r="M32" i="9"/>
  <c r="M144" i="9" s="1"/>
  <c r="N22" i="9"/>
  <c r="O85" i="9" s="1"/>
  <c r="K34" i="9"/>
  <c r="K166" i="9"/>
  <c r="P21" i="9"/>
  <c r="R20" i="9" s="1"/>
  <c r="S77" i="9"/>
  <c r="R58" i="9"/>
  <c r="S82" i="9"/>
  <c r="O80" i="9"/>
  <c r="P14" i="9"/>
  <c r="M120" i="9" l="1"/>
  <c r="M167" i="9" s="1"/>
  <c r="M114" i="9"/>
  <c r="M166" i="9" s="1"/>
  <c r="N10" i="9"/>
  <c r="O89" i="9" s="1"/>
  <c r="M122" i="9"/>
  <c r="M155" i="9" s="1"/>
  <c r="N23" i="9"/>
  <c r="O138" i="9" s="1"/>
  <c r="O140" i="9"/>
  <c r="S104" i="9"/>
  <c r="S152" i="9" s="1"/>
  <c r="T19" i="9"/>
  <c r="K125" i="9"/>
  <c r="K126" i="9" s="1"/>
  <c r="K169" i="9"/>
  <c r="R13" i="9"/>
  <c r="T12" i="9" s="1"/>
  <c r="Q79" i="9"/>
  <c r="P60" i="9"/>
  <c r="Q84" i="9"/>
  <c r="O76" i="9" l="1"/>
  <c r="O91" i="9" s="1"/>
  <c r="P10" i="9" s="1"/>
  <c r="N16" i="9"/>
  <c r="O139" i="9" s="1"/>
  <c r="O31" i="9"/>
  <c r="P15" i="9" s="1"/>
  <c r="R14" i="9" s="1"/>
  <c r="O136" i="9"/>
  <c r="O26" i="9"/>
  <c r="N28" i="9"/>
  <c r="N57" i="9"/>
  <c r="N61" i="9" s="1"/>
  <c r="N63" i="9" s="1"/>
  <c r="O146" i="9" s="1"/>
  <c r="K174" i="9"/>
  <c r="K173" i="9"/>
  <c r="M127" i="9"/>
  <c r="M151" i="9" s="1"/>
  <c r="M175" i="9" s="1"/>
  <c r="M123" i="9"/>
  <c r="M168" i="9" s="1"/>
  <c r="M35" i="9"/>
  <c r="O116" i="9"/>
  <c r="O145" i="9"/>
  <c r="Q108" i="9"/>
  <c r="Q165" i="9" s="1"/>
  <c r="S83" i="9"/>
  <c r="S78" i="9"/>
  <c r="R59" i="9"/>
  <c r="O87" i="9" l="1"/>
  <c r="O32" i="9" s="1"/>
  <c r="O144" i="9" s="1"/>
  <c r="P22" i="9"/>
  <c r="P23" i="9" s="1"/>
  <c r="Q138" i="9" s="1"/>
  <c r="N64" i="9"/>
  <c r="O141" i="9"/>
  <c r="M34" i="9"/>
  <c r="M125" i="9" s="1"/>
  <c r="M126" i="9" s="1"/>
  <c r="Q80" i="9"/>
  <c r="Q136" i="9"/>
  <c r="Q26" i="9"/>
  <c r="P16" i="9"/>
  <c r="Q139" i="9" s="1"/>
  <c r="O154" i="9"/>
  <c r="O120" i="9"/>
  <c r="O167" i="9" s="1"/>
  <c r="R21" i="9"/>
  <c r="T20" i="9" s="1"/>
  <c r="V19" i="9" s="1"/>
  <c r="Q140" i="9"/>
  <c r="O110" i="9"/>
  <c r="O122" i="9"/>
  <c r="O155" i="9" s="1"/>
  <c r="Q85" i="9"/>
  <c r="Q31" i="9"/>
  <c r="R15" i="9" s="1"/>
  <c r="Q89" i="9"/>
  <c r="P57" i="9"/>
  <c r="P61" i="9" s="1"/>
  <c r="Q76" i="9"/>
  <c r="S79" i="9"/>
  <c r="T13" i="9"/>
  <c r="V12" i="9" s="1"/>
  <c r="U77" i="9"/>
  <c r="T58" i="9"/>
  <c r="U82" i="9"/>
  <c r="P28" i="9" l="1"/>
  <c r="M169" i="9"/>
  <c r="M173" i="9" s="1"/>
  <c r="Q91" i="9"/>
  <c r="R10" i="9" s="1"/>
  <c r="S80" i="9"/>
  <c r="R22" i="9"/>
  <c r="O35" i="9"/>
  <c r="S84" i="9"/>
  <c r="O127" i="9"/>
  <c r="O151" i="9" s="1"/>
  <c r="O175" i="9" s="1"/>
  <c r="O123" i="9"/>
  <c r="O168" i="9" s="1"/>
  <c r="R60" i="9"/>
  <c r="Q87" i="9"/>
  <c r="Q116" i="9"/>
  <c r="Q145" i="9"/>
  <c r="U104" i="9"/>
  <c r="U152" i="9" s="1"/>
  <c r="P63" i="9"/>
  <c r="Q146" i="9" s="1"/>
  <c r="P64" i="9"/>
  <c r="Q141" i="9"/>
  <c r="O114" i="9"/>
  <c r="O166" i="9" s="1"/>
  <c r="O153" i="9"/>
  <c r="U83" i="9"/>
  <c r="S108" i="9"/>
  <c r="S165" i="9" s="1"/>
  <c r="U78" i="9"/>
  <c r="T59" i="9"/>
  <c r="Q32" i="9" l="1"/>
  <c r="Q144" i="9" s="1"/>
  <c r="M174" i="9"/>
  <c r="T14" i="9"/>
  <c r="U79" i="9" s="1"/>
  <c r="S136" i="9"/>
  <c r="O34" i="9"/>
  <c r="O169" i="9" s="1"/>
  <c r="Q120" i="9"/>
  <c r="Q167" i="9" s="1"/>
  <c r="Q154" i="9"/>
  <c r="T21" i="9"/>
  <c r="S140" i="9"/>
  <c r="R23" i="9"/>
  <c r="S138" i="9" s="1"/>
  <c r="Q122" i="9"/>
  <c r="S85" i="9"/>
  <c r="Q110" i="9"/>
  <c r="Q153" i="9" s="1"/>
  <c r="R16" i="9"/>
  <c r="S139" i="9" s="1"/>
  <c r="S89" i="9"/>
  <c r="R28" i="9"/>
  <c r="S26" i="9"/>
  <c r="S76" i="9"/>
  <c r="R57" i="9"/>
  <c r="R61" i="9" s="1"/>
  <c r="S31" i="9"/>
  <c r="W77" i="9"/>
  <c r="V58" i="9"/>
  <c r="W82" i="9"/>
  <c r="O174" i="9" l="1"/>
  <c r="O173" i="9"/>
  <c r="T22" i="9"/>
  <c r="T23" i="9" s="1"/>
  <c r="U138" i="9" s="1"/>
  <c r="T15" i="9"/>
  <c r="V13" i="9"/>
  <c r="X12" i="9" s="1"/>
  <c r="T60" i="9"/>
  <c r="S91" i="9"/>
  <c r="O125" i="9"/>
  <c r="O126" i="9" s="1"/>
  <c r="U84" i="9"/>
  <c r="S141" i="9"/>
  <c r="R64" i="9"/>
  <c r="R63" i="9"/>
  <c r="S146" i="9" s="1"/>
  <c r="S116" i="9"/>
  <c r="S154" i="9" s="1"/>
  <c r="S145" i="9"/>
  <c r="Q123" i="9"/>
  <c r="Q168" i="9" s="1"/>
  <c r="Q155" i="9"/>
  <c r="V20" i="9"/>
  <c r="Q35" i="9"/>
  <c r="S87" i="9"/>
  <c r="S32" i="9" s="1"/>
  <c r="S144" i="9" s="1"/>
  <c r="Q114" i="9"/>
  <c r="Q127" i="9"/>
  <c r="Q151" i="9" s="1"/>
  <c r="Q175" i="9" s="1"/>
  <c r="U108" i="9"/>
  <c r="U165" i="9" s="1"/>
  <c r="V59" i="9" l="1"/>
  <c r="W78" i="9"/>
  <c r="S120" i="9"/>
  <c r="S167" i="9" s="1"/>
  <c r="W83" i="9"/>
  <c r="X19" i="9"/>
  <c r="Q34" i="9"/>
  <c r="Q166" i="9"/>
  <c r="V21" i="9"/>
  <c r="X20" i="9" s="1"/>
  <c r="U140" i="9"/>
  <c r="W104" i="9"/>
  <c r="W152" i="9" s="1"/>
  <c r="S122" i="9"/>
  <c r="S110" i="9"/>
  <c r="S153" i="9" s="1"/>
  <c r="T10" i="9"/>
  <c r="U85" i="9"/>
  <c r="U80" i="9"/>
  <c r="V14" i="9"/>
  <c r="S123" i="9" l="1"/>
  <c r="S168" i="9" s="1"/>
  <c r="S155" i="9"/>
  <c r="U136" i="9"/>
  <c r="T16" i="9"/>
  <c r="U139" i="9" s="1"/>
  <c r="Q125" i="9"/>
  <c r="Q126" i="9" s="1"/>
  <c r="Q169" i="9"/>
  <c r="V60" i="9"/>
  <c r="X13" i="9"/>
  <c r="W79" i="9"/>
  <c r="S114" i="9"/>
  <c r="S127" i="9"/>
  <c r="S151" i="9" s="1"/>
  <c r="S175" i="9" s="1"/>
  <c r="S35" i="9"/>
  <c r="T28" i="9"/>
  <c r="U26" i="9"/>
  <c r="U89" i="9"/>
  <c r="U76" i="9"/>
  <c r="U87" i="9" s="1"/>
  <c r="T57" i="9"/>
  <c r="T61" i="9" s="1"/>
  <c r="U31" i="9"/>
  <c r="W84" i="9"/>
  <c r="Q174" i="9" l="1"/>
  <c r="Q173" i="9"/>
  <c r="V22" i="9"/>
  <c r="V15" i="9"/>
  <c r="U91" i="9"/>
  <c r="U141" i="9"/>
  <c r="T64" i="9"/>
  <c r="T63" i="9"/>
  <c r="U146" i="9" s="1"/>
  <c r="S34" i="9"/>
  <c r="S166" i="9"/>
  <c r="U116" i="9"/>
  <c r="U154" i="9" s="1"/>
  <c r="U145" i="9"/>
  <c r="U32" i="9"/>
  <c r="U144" i="9" s="1"/>
  <c r="W108" i="9"/>
  <c r="W165" i="9" s="1"/>
  <c r="U120" i="9" l="1"/>
  <c r="U167" i="9" s="1"/>
  <c r="X21" i="9"/>
  <c r="W140" i="9"/>
  <c r="V23" i="9"/>
  <c r="W138" i="9" s="1"/>
  <c r="S125" i="9"/>
  <c r="S126" i="9" s="1"/>
  <c r="S169" i="9"/>
  <c r="U122" i="9"/>
  <c r="V10" i="9"/>
  <c r="U110" i="9"/>
  <c r="U153" i="9" s="1"/>
  <c r="W80" i="9"/>
  <c r="X14" i="9"/>
  <c r="W85" i="9"/>
  <c r="S174" i="9" l="1"/>
  <c r="S173" i="9"/>
  <c r="W136" i="9"/>
  <c r="V16" i="9"/>
  <c r="W139" i="9" s="1"/>
  <c r="U123" i="9"/>
  <c r="U168" i="9" s="1"/>
  <c r="U155" i="9"/>
  <c r="U114" i="9"/>
  <c r="U127" i="9"/>
  <c r="U151" i="9" s="1"/>
  <c r="U175" i="9" s="1"/>
  <c r="U35" i="9"/>
  <c r="W89" i="9"/>
  <c r="W76" i="9"/>
  <c r="W87" i="9" s="1"/>
  <c r="V57" i="9"/>
  <c r="V61" i="9" s="1"/>
  <c r="W31" i="9"/>
  <c r="W26" i="9"/>
  <c r="V28" i="9"/>
  <c r="X22" i="9" l="1"/>
  <c r="X15" i="9"/>
  <c r="W91" i="9"/>
  <c r="W110" i="9" s="1"/>
  <c r="W153" i="9" s="1"/>
  <c r="W116" i="9"/>
  <c r="W154" i="9" s="1"/>
  <c r="W145" i="9"/>
  <c r="W141" i="9"/>
  <c r="U34" i="9"/>
  <c r="U166" i="9"/>
  <c r="V64" i="9"/>
  <c r="V63" i="9"/>
  <c r="W146" i="9" s="1"/>
  <c r="W32" i="9"/>
  <c r="W144" i="9" s="1"/>
  <c r="W120" i="9" l="1"/>
  <c r="W167" i="9" s="1"/>
  <c r="U125" i="9"/>
  <c r="U126" i="9" s="1"/>
  <c r="U169" i="9"/>
  <c r="W122" i="9"/>
  <c r="W127" i="9" s="1"/>
  <c r="W151" i="9" s="1"/>
  <c r="W175" i="9" s="1"/>
  <c r="X23" i="9"/>
  <c r="X10" i="9"/>
  <c r="W114" i="9"/>
  <c r="U174" i="9" l="1"/>
  <c r="U173" i="9"/>
  <c r="W166" i="9"/>
  <c r="W123" i="9"/>
  <c r="W168" i="9" s="1"/>
  <c r="W155" i="9"/>
  <c r="X28" i="9"/>
  <c r="X16" i="9"/>
  <c r="W35" i="9"/>
  <c r="W34" i="9" l="1"/>
  <c r="W125" i="9" l="1"/>
  <c r="W126" i="9" s="1"/>
  <c r="W169" i="9"/>
  <c r="W174" i="9" l="1"/>
  <c r="W173" i="9"/>
  <c r="C34" i="13"/>
  <c r="C35" i="13"/>
  <c r="F35" i="13"/>
  <c r="D35" i="13"/>
  <c r="G34" i="13"/>
  <c r="G35" i="13"/>
  <c r="F34" i="13"/>
  <c r="F39" i="13" s="1"/>
  <c r="E35" i="13"/>
  <c r="D34" i="13"/>
  <c r="E34" i="13"/>
  <c r="E39" i="13" l="1"/>
  <c r="D39" i="13"/>
  <c r="C39" i="13"/>
  <c r="G39" i="13"/>
</calcChain>
</file>

<file path=xl/sharedStrings.xml><?xml version="1.0" encoding="utf-8"?>
<sst xmlns="http://schemas.openxmlformats.org/spreadsheetml/2006/main" count="517" uniqueCount="358">
  <si>
    <t>FRUITS AND VEGETABLE</t>
  </si>
  <si>
    <t>TYPE</t>
  </si>
  <si>
    <t>VEGETABLE</t>
  </si>
  <si>
    <t>VARIETEIES (VEGETABLE)</t>
  </si>
  <si>
    <t>Cabbages</t>
  </si>
  <si>
    <t xml:space="preserve">pls tick </t>
  </si>
  <si>
    <t>round  _____</t>
  </si>
  <si>
    <t>chinnese_____</t>
  </si>
  <si>
    <t>pok choy_____</t>
  </si>
  <si>
    <t>Tomatoes</t>
  </si>
  <si>
    <t>small____</t>
  </si>
  <si>
    <t>large____</t>
  </si>
  <si>
    <t>Peans</t>
  </si>
  <si>
    <t>dwarf___</t>
  </si>
  <si>
    <t>long____</t>
  </si>
  <si>
    <t>Pumpkin____</t>
  </si>
  <si>
    <t>Egg plant____</t>
  </si>
  <si>
    <t>Green pepper____</t>
  </si>
  <si>
    <t>Raddish____</t>
  </si>
  <si>
    <t>Cellery___</t>
  </si>
  <si>
    <t>Sweet corn____</t>
  </si>
  <si>
    <t>Carrots____</t>
  </si>
  <si>
    <t>Spieces</t>
  </si>
  <si>
    <t>black pepper____</t>
  </si>
  <si>
    <t>white Pepper____</t>
  </si>
  <si>
    <t>water cress___</t>
  </si>
  <si>
    <t>Banana____</t>
  </si>
  <si>
    <t>Tahitian Lime_____</t>
  </si>
  <si>
    <t>Mangoes_____</t>
  </si>
  <si>
    <t>Pineapple____</t>
  </si>
  <si>
    <t>Pawpaw</t>
  </si>
  <si>
    <t>Sunrise_____</t>
  </si>
  <si>
    <t>Sunset_____</t>
  </si>
  <si>
    <t>Avocado_____</t>
  </si>
  <si>
    <t>ACRE            BEDS</t>
  </si>
  <si>
    <t>FRUITS</t>
  </si>
  <si>
    <t># OF HARVEST PER YEAR</t>
  </si>
  <si>
    <t>QUANTITY HARVEST</t>
  </si>
  <si>
    <t>DAMAGE PRE HARVEST</t>
  </si>
  <si>
    <t>Chillie ____</t>
  </si>
  <si>
    <t>HARVEST 1</t>
  </si>
  <si>
    <t>HARVEST 2</t>
  </si>
  <si>
    <t>HARVEST 3</t>
  </si>
  <si>
    <t>Cucumber</t>
  </si>
  <si>
    <t>AVERAGE INCOME PER HARVEST</t>
  </si>
  <si>
    <t>STOCK</t>
  </si>
  <si>
    <t>Yr 1</t>
  </si>
  <si>
    <t>Yr 2</t>
  </si>
  <si>
    <t>Yr 3</t>
  </si>
  <si>
    <t>Yr 4</t>
  </si>
  <si>
    <t>Yr 5</t>
  </si>
  <si>
    <t>No. Of Sows</t>
  </si>
  <si>
    <t>No. Of B.Boars</t>
  </si>
  <si>
    <t>No. Of Repl.Boars</t>
  </si>
  <si>
    <t>No. Of Repl. Gilts</t>
  </si>
  <si>
    <t>No. Of piglets born</t>
  </si>
  <si>
    <t>No. Of piglets died</t>
  </si>
  <si>
    <t>No. Of piglets weaned</t>
  </si>
  <si>
    <t>Transfer Stock</t>
  </si>
  <si>
    <t>No. Of weaners transfer to replacement gilts</t>
  </si>
  <si>
    <t>No. Of weaners transfer as fatterners</t>
  </si>
  <si>
    <t>Disposal Stock and Sales</t>
  </si>
  <si>
    <t>No. Of weaners sold</t>
  </si>
  <si>
    <t>No. Of fatteners sold</t>
  </si>
  <si>
    <t>No. Of culled sows sold</t>
  </si>
  <si>
    <t>No. Of culled boars sold</t>
  </si>
  <si>
    <t>No. Of weaners use by family</t>
  </si>
  <si>
    <t>Total End of Year</t>
  </si>
  <si>
    <t>No. Of Cows</t>
  </si>
  <si>
    <t>No. Of B.Bulls</t>
  </si>
  <si>
    <t>No. Of Repl.Bull</t>
  </si>
  <si>
    <t>No. Of Repl. Heifers</t>
  </si>
  <si>
    <t>No. Of Calves</t>
  </si>
  <si>
    <t>No. Of calves died</t>
  </si>
  <si>
    <t>No. Of weaner heifer transfer to replacement heifer</t>
  </si>
  <si>
    <t>No. Of weaners bull transfer as steers</t>
  </si>
  <si>
    <t>No. Of carcasses sold</t>
  </si>
  <si>
    <t>No. Of steer sold</t>
  </si>
  <si>
    <t>No. Of culled cows sold</t>
  </si>
  <si>
    <t>No. Of culled bulls sold</t>
  </si>
  <si>
    <t>No. Of animals use for family consumption</t>
  </si>
  <si>
    <t>No. Of Ewes</t>
  </si>
  <si>
    <t>No. Of B.Rams</t>
  </si>
  <si>
    <t>No. Of Repl.Ram</t>
  </si>
  <si>
    <t>No. Of Repl. Ewes</t>
  </si>
  <si>
    <t>No. Of Lambs</t>
  </si>
  <si>
    <t>No. Of Lambs died</t>
  </si>
  <si>
    <t>No. Of Hoggets  transfer to Ewe</t>
  </si>
  <si>
    <t>No. Of Rams transfer as Weathers</t>
  </si>
  <si>
    <t>No. Of Weathers sold</t>
  </si>
  <si>
    <t>No. Of culled Ewe sold</t>
  </si>
  <si>
    <t>No. Of culled Rams sold</t>
  </si>
  <si>
    <t xml:space="preserve">    NUMBERS  OF PLANTS   </t>
  </si>
  <si>
    <t>VARIETIES (FRUIT TREES)</t>
  </si>
  <si>
    <t>No. Hens</t>
  </si>
  <si>
    <t>No. Rooster</t>
  </si>
  <si>
    <t>No. Of Repl. Rooster</t>
  </si>
  <si>
    <t>No. Of Repl.Hens</t>
  </si>
  <si>
    <t>No. Of chickens</t>
  </si>
  <si>
    <t>No. Of chickens died</t>
  </si>
  <si>
    <t>No. Of replacement rooster sold</t>
  </si>
  <si>
    <t>No. Of birds use for family consumption</t>
  </si>
  <si>
    <t>Born Alive</t>
  </si>
  <si>
    <t>Mortality to Weaning</t>
  </si>
  <si>
    <t xml:space="preserve">Average piglets per sow </t>
  </si>
  <si>
    <t>Number of Pigs Available</t>
  </si>
  <si>
    <t>No. Of piglets died After Weaning</t>
  </si>
  <si>
    <t>No. Of piglets Available for sale</t>
  </si>
  <si>
    <t>No. Of piglets transferred to replacement Gilts</t>
  </si>
  <si>
    <t>No. Of culled sows and boars (50% of retained)</t>
  </si>
  <si>
    <t>Value of Stock Sales</t>
  </si>
  <si>
    <t>Price of Weaners</t>
  </si>
  <si>
    <t>Price of Fatteners</t>
  </si>
  <si>
    <t>Price of Culls</t>
  </si>
  <si>
    <t>Total Sales Value</t>
  </si>
  <si>
    <t>YEAR OF CALVING</t>
  </si>
  <si>
    <t>COWS</t>
  </si>
  <si>
    <t>HEIF 4</t>
  </si>
  <si>
    <t>HEIF 3</t>
  </si>
  <si>
    <t>HEIF 2</t>
  </si>
  <si>
    <t>HEIF 1</t>
  </si>
  <si>
    <t>STEER 4</t>
  </si>
  <si>
    <t>STEER 3</t>
  </si>
  <si>
    <t>STEER 2</t>
  </si>
  <si>
    <t>STEER 1</t>
  </si>
  <si>
    <t>BULLS</t>
  </si>
  <si>
    <t>Percentage</t>
  </si>
  <si>
    <t>Numbers Born</t>
  </si>
  <si>
    <t>Total Sale Value</t>
  </si>
  <si>
    <t>COWS,CV's,BULLS</t>
  </si>
  <si>
    <t>HF4 + ST4</t>
  </si>
  <si>
    <t>HF3 + ST3</t>
  </si>
  <si>
    <t>HF2 + ST2</t>
  </si>
  <si>
    <t xml:space="preserve">Jan </t>
  </si>
  <si>
    <t>Yr 6</t>
  </si>
  <si>
    <t>Yr 7</t>
  </si>
  <si>
    <t>Yr 8</t>
  </si>
  <si>
    <t>Yr 9</t>
  </si>
  <si>
    <t>Yr 10</t>
  </si>
  <si>
    <t xml:space="preserve">Stock Numbers </t>
  </si>
  <si>
    <t>Calving Percentages</t>
  </si>
  <si>
    <t>Average Mortality %</t>
  </si>
  <si>
    <t>Total Sale Number</t>
  </si>
  <si>
    <t>STOCKING RATE</t>
  </si>
  <si>
    <t>(LIVE STOCK UNITS UK SYSTEM)</t>
  </si>
  <si>
    <t>HECTARES REQUIRED</t>
  </si>
  <si>
    <t>TOTAL LSU</t>
  </si>
  <si>
    <t>HA/LSU AT FIXED AREA</t>
  </si>
  <si>
    <t>STOCK NUMBERS AT JAN</t>
  </si>
  <si>
    <t>%</t>
  </si>
  <si>
    <t>#</t>
  </si>
  <si>
    <t xml:space="preserve">COW MORT % </t>
  </si>
  <si>
    <t>HEIF 4 MORT %</t>
  </si>
  <si>
    <t>HEIF 3 MORT %</t>
  </si>
  <si>
    <t>HEIF 2 MORT %</t>
  </si>
  <si>
    <t>HEIF 1 MORT %</t>
  </si>
  <si>
    <t>STEER 4 MORT%</t>
  </si>
  <si>
    <t>STEER 3 MORT%</t>
  </si>
  <si>
    <t>STEER 2 MORT%</t>
  </si>
  <si>
    <t>STEER 1 MORT%</t>
  </si>
  <si>
    <t>TOTAL DEATHS</t>
  </si>
  <si>
    <t>CULL%</t>
  </si>
  <si>
    <t>MAXIMUM HERD SIZE</t>
  </si>
  <si>
    <t>MAX COWS POSSIBLE</t>
  </si>
  <si>
    <t>Steer Numbers</t>
  </si>
  <si>
    <t>Steer Weight</t>
  </si>
  <si>
    <t>Dollars / Kg DWt</t>
  </si>
  <si>
    <t>Dollars Per Beast</t>
  </si>
  <si>
    <t>Value</t>
  </si>
  <si>
    <t>Heifer Numbers</t>
  </si>
  <si>
    <t>Heifer Weight</t>
  </si>
  <si>
    <t>Culls</t>
  </si>
  <si>
    <t xml:space="preserve">Cull Weight </t>
  </si>
  <si>
    <t>Bobby Calves</t>
  </si>
  <si>
    <t>Total Value</t>
  </si>
  <si>
    <t>Average $/Head</t>
  </si>
  <si>
    <t>Head /Yr</t>
  </si>
  <si>
    <t>HECTARES AVAILABLE</t>
  </si>
  <si>
    <t>at original stocking density</t>
  </si>
  <si>
    <t>STOCK SALES AND VALUE</t>
  </si>
  <si>
    <t>BREEDING AND REARING STOCK PURCHASES</t>
  </si>
  <si>
    <t>No. Of Rearing Steers</t>
  </si>
  <si>
    <t>No. Of Rearing Heifers</t>
  </si>
  <si>
    <t>Number Dead</t>
  </si>
  <si>
    <t>Overall Mortality Percent</t>
  </si>
  <si>
    <t>No. Of heifer sold</t>
  </si>
  <si>
    <t>No. Of culls sold</t>
  </si>
  <si>
    <t>N0. Of calves sold</t>
  </si>
  <si>
    <t>Value Of steer sold</t>
  </si>
  <si>
    <t>Value Of heifer sold</t>
  </si>
  <si>
    <t>Value Of culls sold</t>
  </si>
  <si>
    <t>Value Of calves sold</t>
  </si>
  <si>
    <t>Total Steer Value</t>
  </si>
  <si>
    <t>Total Heifer Value</t>
  </si>
  <si>
    <t>Total Cull Value</t>
  </si>
  <si>
    <t>Total Calf Value</t>
  </si>
  <si>
    <t>Value Of All Carcasses sold</t>
  </si>
  <si>
    <t>Value Of animals use for family consumption</t>
  </si>
  <si>
    <t xml:space="preserve">Value Left to Business </t>
  </si>
  <si>
    <t>Farrowing Index (Litters Per Year)</t>
  </si>
  <si>
    <t>Weeks/Yr</t>
  </si>
  <si>
    <t>Culling Percentage</t>
  </si>
  <si>
    <t>Stocking Density Hectares Per Cow</t>
  </si>
  <si>
    <t>BEEF STOCK BUILD UP MODEL</t>
  </si>
  <si>
    <t>TOTAL HEIFERS &amp; COWS</t>
  </si>
  <si>
    <t>TOTAL STEERS &amp;CALVES</t>
  </si>
  <si>
    <t>Sow Cost</t>
  </si>
  <si>
    <t>$ Per Piglet</t>
  </si>
  <si>
    <t>If this is a start up project place "1" in box</t>
  </si>
  <si>
    <t>If you choose this option years 4 and 5 must be the same production parameters</t>
  </si>
  <si>
    <t>Production</t>
  </si>
  <si>
    <t>Year 0</t>
  </si>
  <si>
    <t>Year 1</t>
  </si>
  <si>
    <t>Year 2</t>
  </si>
  <si>
    <t>Year 3</t>
  </si>
  <si>
    <t>Year 4</t>
  </si>
  <si>
    <t>Year 5</t>
  </si>
  <si>
    <t>Purchased Day Olds Per Year</t>
  </si>
  <si>
    <t>Purchased birds per day</t>
  </si>
  <si>
    <t>What is the mortality of Chicks</t>
  </si>
  <si>
    <t>Dead Per Day</t>
  </si>
  <si>
    <t>Available for Sale Per Day</t>
  </si>
  <si>
    <t>Cull %</t>
  </si>
  <si>
    <t>This number of birds is fed for 24 weeks to cover replacements</t>
  </si>
  <si>
    <t>Average Liveweight of Birds</t>
  </si>
  <si>
    <t>We suggest between 1.5 kg and 2.5 kg</t>
  </si>
  <si>
    <t>Killing Out Percent</t>
  </si>
  <si>
    <t>We suggest between 70% and 80 % depending on how much of the bird is sold</t>
  </si>
  <si>
    <t>Average Dressed weight per Bird</t>
  </si>
  <si>
    <t>Sales and Income</t>
  </si>
  <si>
    <t>Live Sale</t>
  </si>
  <si>
    <t>Number of Birds</t>
  </si>
  <si>
    <t>Price per Kg Live Weight</t>
  </si>
  <si>
    <t>Total Dollars</t>
  </si>
  <si>
    <t>Dressed Sale</t>
  </si>
  <si>
    <t>Price per Kg Dressed Weight</t>
  </si>
  <si>
    <t>Cull Birds</t>
  </si>
  <si>
    <t>Income</t>
  </si>
  <si>
    <t xml:space="preserve">The Total Annual Gross Income is </t>
  </si>
  <si>
    <t>Total Birds Fed and Sold</t>
  </si>
  <si>
    <t>How many layers do you have</t>
  </si>
  <si>
    <t>We suggest layers will be 18 to 20 weeks at start of lay</t>
  </si>
  <si>
    <t>What percentage will lay each day</t>
  </si>
  <si>
    <t>How many Eggs Produced Per Day</t>
  </si>
  <si>
    <t>Total Eggs For Sale Per Year</t>
  </si>
  <si>
    <t>Total Doz Eggs For Sale Per Year</t>
  </si>
  <si>
    <t>These figuers can be much higher on lower quality situations</t>
  </si>
  <si>
    <t>Large</t>
  </si>
  <si>
    <t>Number of Dozen Eggs</t>
  </si>
  <si>
    <t>Medium</t>
  </si>
  <si>
    <t>Small</t>
  </si>
  <si>
    <t>This weight should be low as a number of culls are not fit for sale</t>
  </si>
  <si>
    <t>Cull Weight live</t>
  </si>
  <si>
    <t>We suggest this figure should be between 1.8 and 2.5 kilo</t>
  </si>
  <si>
    <t>Weighted Price Per Dozen</t>
  </si>
  <si>
    <t>Lost Eggs Per Day</t>
  </si>
  <si>
    <t>Income for start up projects may be delayed 1 year.</t>
  </si>
  <si>
    <t>Lambing Percentage</t>
  </si>
  <si>
    <t>Average Lambs Per Ewe</t>
  </si>
  <si>
    <t>Number of Lambs Available</t>
  </si>
  <si>
    <t>No. Of Lambs died After Weaning</t>
  </si>
  <si>
    <t>No. Of Lambs for replacement Ewes</t>
  </si>
  <si>
    <t>No. Of Lambs Available for sale</t>
  </si>
  <si>
    <t>No. Of fat lambs sold</t>
  </si>
  <si>
    <t>No. Of lambs use by family</t>
  </si>
  <si>
    <t>No. Of culled ewes and rams (50% of retained)</t>
  </si>
  <si>
    <t>Price of Fat Lambs</t>
  </si>
  <si>
    <t>Total Stock</t>
  </si>
  <si>
    <t/>
  </si>
  <si>
    <t>Price Per Bird</t>
  </si>
  <si>
    <t>Number Sold</t>
  </si>
  <si>
    <t>Sheep Output Model</t>
  </si>
  <si>
    <t xml:space="preserve">Egg Output Model </t>
  </si>
  <si>
    <t>Pig Output Model</t>
  </si>
  <si>
    <t xml:space="preserve">Broiler Output Model </t>
  </si>
  <si>
    <t>SUMMARY</t>
  </si>
  <si>
    <t>Key Drivers</t>
  </si>
  <si>
    <t>YEAR OF STEER SALE</t>
  </si>
  <si>
    <t>RATIO BULL To COWS</t>
  </si>
  <si>
    <t>MORTALITY &amp; CULLING PERCENTAGES</t>
  </si>
  <si>
    <t>Dozen Eggs Sold</t>
  </si>
  <si>
    <t>We suggest this figure should be between 70% and 95%</t>
  </si>
  <si>
    <t>What is the on farm egg losses</t>
  </si>
  <si>
    <t>Retail price currently $6.50</t>
  </si>
  <si>
    <t>The majority of eggs are likely to be medium</t>
  </si>
  <si>
    <t>Older larger birds lay larger eggs</t>
  </si>
  <si>
    <t>Price per Kg live</t>
  </si>
  <si>
    <t>This is to allow time to construct the building and to allow birds to become productive</t>
  </si>
  <si>
    <t>We suggest this figure should range from 90% to 150%</t>
  </si>
  <si>
    <t>We suggest this figure should range from 1 to 1.4 lambs</t>
  </si>
  <si>
    <t>We suggest this figure should range from 15% to 35%</t>
  </si>
  <si>
    <t>We suggest this figure should range from 2% to 10%</t>
  </si>
  <si>
    <t>We suggest this figure should range from 25% to 40%</t>
  </si>
  <si>
    <t>Small lambs sold to other farmers to rear</t>
  </si>
  <si>
    <t>Mature lambs for sale</t>
  </si>
  <si>
    <t>It is assumed a number of ewes will be unfit for sale or die</t>
  </si>
  <si>
    <t>Animals used in the house.</t>
  </si>
  <si>
    <t>Value of lambs used by family</t>
  </si>
  <si>
    <t>Total Sheep Sold or Consumed</t>
  </si>
  <si>
    <t>You can choose to include a value here if you want</t>
  </si>
  <si>
    <t>Live Weight</t>
  </si>
  <si>
    <t>KO%</t>
  </si>
  <si>
    <t>Dressed Weight</t>
  </si>
  <si>
    <t>Price Calculator</t>
  </si>
  <si>
    <t>Weight</t>
  </si>
  <si>
    <t>Price</t>
  </si>
  <si>
    <t>Killing Out Percentage from 40% to 50%</t>
  </si>
  <si>
    <t xml:space="preserve">We suggest the live weight for a mature lamb will be between 30 and 40 kilo  </t>
  </si>
  <si>
    <t xml:space="preserve">We suggest the live weight for a meat sale will be 50 kilo or above  </t>
  </si>
  <si>
    <t>Killing Out Percentage from 75% to 79%</t>
  </si>
  <si>
    <t>We suggest this figure will range from 1.2 to 2</t>
  </si>
  <si>
    <t>We suggest this figure will range from 8 to 10</t>
  </si>
  <si>
    <t>We suggest this figure will range from 15% to 50%</t>
  </si>
  <si>
    <t>We suggest this figure will range from 2% to 10%</t>
  </si>
  <si>
    <t>We suggest this figure will range from 25% to 50%</t>
  </si>
  <si>
    <t>No. Of weaners sold (No. 2)</t>
  </si>
  <si>
    <t>Weeks</t>
  </si>
  <si>
    <t>Set By God</t>
  </si>
  <si>
    <t>Under management and feeding control</t>
  </si>
  <si>
    <t>Total weeks for 1 cycle</t>
  </si>
  <si>
    <t>Number of litters per year</t>
  </si>
  <si>
    <t>Cost of feeding 1 sow for 1 year</t>
  </si>
  <si>
    <t>Cost of each piglet produced</t>
  </si>
  <si>
    <t>Farrow Index (litters per year)</t>
  </si>
  <si>
    <t>Weeks Pregnant</t>
  </si>
  <si>
    <t>Weeks to Weaning</t>
  </si>
  <si>
    <t>Weeks to Mating</t>
  </si>
  <si>
    <t>Born Alive each litter</t>
  </si>
  <si>
    <t>Piglets reared/Sow/Year</t>
  </si>
  <si>
    <t>Calculation of Farrowing index and piglet cost.</t>
  </si>
  <si>
    <t>Laying percentage will decline if culling is higher</t>
  </si>
  <si>
    <t>We suggest between 5% to 15 %</t>
  </si>
  <si>
    <t>Choose 3 or 4</t>
  </si>
  <si>
    <t>Enter Opening Stock</t>
  </si>
  <si>
    <t>We suggest between 40% and 70%</t>
  </si>
  <si>
    <t>We suggest this figure must stay above 0.5</t>
  </si>
  <si>
    <t>This figure indicates the size of holding required</t>
  </si>
  <si>
    <t>to keep the original stocking density</t>
  </si>
  <si>
    <t>This figure set the maximum number of cows. Additional stock are sold.</t>
  </si>
  <si>
    <t>reduce this figure is stocking density is getting too tight</t>
  </si>
  <si>
    <t>Enter the current land area</t>
  </si>
  <si>
    <t>We suggest this figure should be between 2% and 5%</t>
  </si>
  <si>
    <t>We suggest this figure should be between 1% and 5%</t>
  </si>
  <si>
    <t>We suggest this figure should be between 2% and 10%</t>
  </si>
  <si>
    <t>We suggest this figure should be between 2% and 20%</t>
  </si>
  <si>
    <t>We suggest this figure should be between 15% and 25%</t>
  </si>
  <si>
    <t>We suggest this figure should be between 180 and 250 kilo</t>
  </si>
  <si>
    <t>We suggest this figure should be between 250 and 300 kilo</t>
  </si>
  <si>
    <t xml:space="preserve">We suggest the live weight for a meat sale will be 450 kilo or above  </t>
  </si>
  <si>
    <t>Killing Out Percentage from 48% to 50%</t>
  </si>
  <si>
    <t>Price of pigs consumed by family</t>
  </si>
  <si>
    <t>You can choose to include a value here</t>
  </si>
  <si>
    <t>Total Number Sold (Inc Culls)</t>
  </si>
  <si>
    <t>Farm 1</t>
  </si>
  <si>
    <t>Farm 2</t>
  </si>
  <si>
    <t>Farm 3</t>
  </si>
  <si>
    <t>Farm 4</t>
  </si>
  <si>
    <t>Farm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</si>
</sst>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&quot;$&quot;#,##0.00"/>
    <numFmt numFmtId="166" formatCode="&quot;$&quot;#,##0"/>
    <numFmt numFmtId="167" formatCode="[$$-409]#,##0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10"/>
      <color theme="1"/>
      <name val="Arial Narrow"/>
      <family val="2"/>
    </font>
    <font>
      <sz val="10"/>
      <color theme="1"/>
      <name val="Calibri"/>
      <family val="2"/>
      <scheme val="minor"/>
    </font>
    <font>
      <b/>
      <sz val="10"/>
      <color theme="1"/>
      <name val="Constantia"/>
      <family val="1"/>
    </font>
    <font>
      <b/>
      <sz val="10"/>
      <color theme="1"/>
      <name val="Calibri"/>
      <family val="2"/>
      <scheme val="minor"/>
    </font>
    <font>
      <b/>
      <sz val="10"/>
      <color theme="1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2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b/>
      <u/>
      <sz val="24"/>
      <name val="Arial"/>
      <family val="2"/>
    </font>
    <font>
      <b/>
      <sz val="18"/>
      <name val="Arial"/>
      <family val="2"/>
    </font>
    <font>
      <b/>
      <sz val="20"/>
      <name val="Arial"/>
      <family val="2"/>
    </font>
    <font>
      <b/>
      <sz val="22"/>
      <name val="Arial"/>
      <family val="2"/>
    </font>
    <font>
      <b/>
      <sz val="12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11"/>
      <name val="Arial"/>
      <family val="2"/>
    </font>
    <font>
      <b/>
      <sz val="11"/>
      <name val="Arial"/>
      <family val="2"/>
    </font>
    <font>
      <b/>
      <u/>
      <sz val="1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0000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</borders>
  <cellStyleXfs count="1">
    <xf numFmtId="0" fontId="0" fillId="0" borderId="0"/>
  </cellStyleXfs>
  <cellXfs count="254">
    <xf numFmtId="0" fontId="0" fillId="0" borderId="0" xfId="0"/>
    <xf numFmtId="0" fontId="2" fillId="0" borderId="0" xfId="0" applyFont="1"/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5" xfId="0" applyBorder="1"/>
    <xf numFmtId="0" fontId="4" fillId="0" borderId="9" xfId="0" applyFont="1" applyBorder="1" applyAlignment="1">
      <alignment wrapText="1"/>
    </xf>
    <xf numFmtId="0" fontId="5" fillId="0" borderId="7" xfId="0" applyFont="1" applyBorder="1"/>
    <xf numFmtId="0" fontId="4" fillId="0" borderId="3" xfId="0" applyFont="1" applyBorder="1"/>
    <xf numFmtId="0" fontId="4" fillId="0" borderId="0" xfId="0" applyFont="1" applyBorder="1"/>
    <xf numFmtId="0" fontId="4" fillId="0" borderId="4" xfId="0" applyFont="1" applyBorder="1"/>
    <xf numFmtId="0" fontId="4" fillId="0" borderId="6" xfId="0" applyFont="1" applyBorder="1"/>
    <xf numFmtId="0" fontId="4" fillId="0" borderId="2" xfId="0" applyFont="1" applyBorder="1"/>
    <xf numFmtId="0" fontId="3" fillId="0" borderId="10" xfId="0" applyFont="1" applyBorder="1"/>
    <xf numFmtId="0" fontId="0" fillId="0" borderId="10" xfId="0" applyBorder="1"/>
    <xf numFmtId="0" fontId="2" fillId="0" borderId="5" xfId="0" applyFont="1" applyBorder="1"/>
    <xf numFmtId="0" fontId="2" fillId="0" borderId="10" xfId="0" applyFont="1" applyBorder="1"/>
    <xf numFmtId="0" fontId="3" fillId="0" borderId="2" xfId="0" applyFont="1" applyBorder="1"/>
    <xf numFmtId="0" fontId="0" fillId="0" borderId="2" xfId="0" applyBorder="1"/>
    <xf numFmtId="0" fontId="2" fillId="0" borderId="2" xfId="0" applyFont="1" applyBorder="1"/>
    <xf numFmtId="0" fontId="1" fillId="0" borderId="2" xfId="0" applyFont="1" applyBorder="1"/>
    <xf numFmtId="0" fontId="5" fillId="0" borderId="2" xfId="0" applyFont="1" applyBorder="1"/>
    <xf numFmtId="0" fontId="4" fillId="0" borderId="2" xfId="0" applyFont="1" applyBorder="1" applyAlignment="1">
      <alignment vertical="top"/>
    </xf>
    <xf numFmtId="0" fontId="4" fillId="0" borderId="7" xfId="0" applyFont="1" applyBorder="1" applyAlignment="1">
      <alignment vertical="top"/>
    </xf>
    <xf numFmtId="0" fontId="4" fillId="0" borderId="2" xfId="0" applyFont="1" applyBorder="1" applyAlignment="1">
      <alignment vertical="top" wrapText="1"/>
    </xf>
    <xf numFmtId="0" fontId="8" fillId="0" borderId="2" xfId="0" applyFont="1" applyBorder="1"/>
    <xf numFmtId="0" fontId="8" fillId="0" borderId="12" xfId="0" applyFont="1" applyBorder="1" applyAlignment="1">
      <alignment horizontal="center" vertical="top" wrapText="1"/>
    </xf>
    <xf numFmtId="0" fontId="8" fillId="0" borderId="13" xfId="0" applyFont="1" applyBorder="1" applyAlignment="1">
      <alignment horizontal="center" vertical="top" wrapText="1"/>
    </xf>
    <xf numFmtId="0" fontId="7" fillId="0" borderId="1" xfId="0" applyFont="1" applyBorder="1" applyAlignment="1">
      <alignment vertical="top" wrapText="1"/>
    </xf>
    <xf numFmtId="0" fontId="7" fillId="0" borderId="13" xfId="0" applyFont="1" applyBorder="1" applyAlignment="1">
      <alignment horizontal="center" vertical="top" wrapText="1"/>
    </xf>
    <xf numFmtId="0" fontId="9" fillId="0" borderId="1" xfId="0" applyFont="1" applyBorder="1" applyAlignment="1">
      <alignment vertical="top" wrapText="1"/>
    </xf>
    <xf numFmtId="0" fontId="8" fillId="0" borderId="1" xfId="0" applyFont="1" applyBorder="1" applyAlignment="1">
      <alignment vertical="top" wrapText="1"/>
    </xf>
    <xf numFmtId="0" fontId="7" fillId="0" borderId="1" xfId="0" applyFont="1" applyBorder="1" applyAlignment="1">
      <alignment vertical="top"/>
    </xf>
    <xf numFmtId="0" fontId="7" fillId="0" borderId="13" xfId="0" applyFont="1" applyBorder="1" applyAlignment="1">
      <alignment horizontal="center" vertical="top"/>
    </xf>
    <xf numFmtId="0" fontId="7" fillId="0" borderId="14" xfId="0" applyFont="1" applyBorder="1" applyAlignment="1">
      <alignment vertical="top"/>
    </xf>
    <xf numFmtId="0" fontId="7" fillId="0" borderId="14" xfId="0" applyFont="1" applyBorder="1" applyAlignment="1">
      <alignment vertical="top" wrapText="1"/>
    </xf>
    <xf numFmtId="0" fontId="9" fillId="0" borderId="14" xfId="0" applyFont="1" applyBorder="1" applyAlignment="1">
      <alignment vertical="top"/>
    </xf>
    <xf numFmtId="0" fontId="8" fillId="0" borderId="14" xfId="0" applyFont="1" applyBorder="1" applyAlignment="1">
      <alignment vertical="top" wrapText="1"/>
    </xf>
    <xf numFmtId="0" fontId="8" fillId="0" borderId="15" xfId="0" applyFont="1" applyBorder="1" applyAlignment="1">
      <alignment horizontal="center" vertical="top" wrapText="1"/>
    </xf>
    <xf numFmtId="0" fontId="0" fillId="0" borderId="14" xfId="0" applyBorder="1" applyAlignment="1">
      <alignment vertical="top"/>
    </xf>
    <xf numFmtId="0" fontId="8" fillId="0" borderId="13" xfId="0" applyFont="1" applyBorder="1" applyAlignment="1">
      <alignment horizontal="center" vertical="top"/>
    </xf>
    <xf numFmtId="0" fontId="6" fillId="0" borderId="10" xfId="0" applyFont="1" applyBorder="1" applyAlignment="1">
      <alignment horizontal="left" vertical="center"/>
    </xf>
    <xf numFmtId="0" fontId="0" fillId="0" borderId="14" xfId="0" applyBorder="1" applyAlignment="1">
      <alignment vertical="top" wrapText="1"/>
    </xf>
    <xf numFmtId="0" fontId="2" fillId="0" borderId="16" xfId="0" applyFont="1" applyBorder="1"/>
    <xf numFmtId="0" fontId="2" fillId="0" borderId="4" xfId="0" applyFont="1" applyBorder="1"/>
    <xf numFmtId="9" fontId="0" fillId="0" borderId="0" xfId="0" applyNumberFormat="1"/>
    <xf numFmtId="1" fontId="7" fillId="0" borderId="13" xfId="0" applyNumberFormat="1" applyFont="1" applyBorder="1" applyAlignment="1">
      <alignment horizontal="center" vertical="top"/>
    </xf>
    <xf numFmtId="0" fontId="8" fillId="0" borderId="12" xfId="0" applyFont="1" applyBorder="1" applyAlignment="1">
      <alignment vertical="top" wrapText="1"/>
    </xf>
    <xf numFmtId="0" fontId="8" fillId="0" borderId="13" xfId="0" applyFont="1" applyBorder="1" applyAlignment="1">
      <alignment vertical="top" wrapText="1"/>
    </xf>
    <xf numFmtId="0" fontId="7" fillId="0" borderId="13" xfId="0" applyFont="1" applyBorder="1" applyAlignment="1">
      <alignment vertical="top"/>
    </xf>
    <xf numFmtId="0" fontId="0" fillId="0" borderId="13" xfId="0" applyBorder="1" applyAlignment="1">
      <alignment vertical="top"/>
    </xf>
    <xf numFmtId="0" fontId="7" fillId="0" borderId="13" xfId="0" applyFont="1" applyBorder="1" applyAlignment="1">
      <alignment vertical="top" wrapText="1"/>
    </xf>
    <xf numFmtId="0" fontId="9" fillId="0" borderId="13" xfId="0" applyFont="1" applyBorder="1" applyAlignment="1">
      <alignment vertical="top"/>
    </xf>
    <xf numFmtId="0" fontId="8" fillId="0" borderId="0" xfId="0" applyFont="1"/>
    <xf numFmtId="0" fontId="0" fillId="0" borderId="18" xfId="0" applyBorder="1"/>
    <xf numFmtId="1" fontId="0" fillId="0" borderId="18" xfId="0" applyNumberFormat="1" applyBorder="1"/>
    <xf numFmtId="166" fontId="0" fillId="0" borderId="18" xfId="0" applyNumberFormat="1" applyBorder="1"/>
    <xf numFmtId="0" fontId="0" fillId="0" borderId="18" xfId="0" applyBorder="1" applyAlignment="1">
      <alignment vertical="top"/>
    </xf>
    <xf numFmtId="0" fontId="7" fillId="2" borderId="13" xfId="0" applyFont="1" applyFill="1" applyBorder="1" applyAlignment="1" applyProtection="1">
      <alignment horizontal="center" vertical="top"/>
      <protection locked="0"/>
    </xf>
    <xf numFmtId="9" fontId="7" fillId="2" borderId="13" xfId="0" applyNumberFormat="1" applyFont="1" applyFill="1" applyBorder="1" applyAlignment="1" applyProtection="1">
      <alignment horizontal="center" vertical="top"/>
      <protection locked="0"/>
    </xf>
    <xf numFmtId="9" fontId="7" fillId="2" borderId="13" xfId="0" applyNumberFormat="1" applyFont="1" applyFill="1" applyBorder="1" applyAlignment="1" applyProtection="1">
      <alignment vertical="top"/>
      <protection locked="0"/>
    </xf>
    <xf numFmtId="9" fontId="0" fillId="2" borderId="0" xfId="0" applyNumberFormat="1" applyFill="1" applyProtection="1">
      <protection locked="0"/>
    </xf>
    <xf numFmtId="166" fontId="0" fillId="2" borderId="18" xfId="0" applyNumberFormat="1" applyFill="1" applyBorder="1" applyProtection="1">
      <protection locked="0"/>
    </xf>
    <xf numFmtId="0" fontId="11" fillId="3" borderId="0" xfId="0" applyNumberFormat="1" applyFont="1" applyFill="1" applyAlignment="1" applyProtection="1"/>
    <xf numFmtId="0" fontId="11" fillId="4" borderId="0" xfId="0" applyNumberFormat="1" applyFont="1" applyFill="1" applyAlignment="1" applyProtection="1"/>
    <xf numFmtId="0" fontId="11" fillId="4" borderId="0" xfId="0" applyNumberFormat="1" applyFont="1" applyFill="1" applyProtection="1">
      <protection locked="0"/>
    </xf>
    <xf numFmtId="0" fontId="11" fillId="0" borderId="0" xfId="0" applyNumberFormat="1" applyFont="1" applyAlignment="1" applyProtection="1"/>
    <xf numFmtId="0" fontId="11" fillId="4" borderId="0" xfId="0" applyNumberFormat="1" applyFont="1" applyFill="1" applyAlignment="1"/>
    <xf numFmtId="0" fontId="11" fillId="0" borderId="0" xfId="0" applyNumberFormat="1" applyFont="1" applyAlignment="1"/>
    <xf numFmtId="0" fontId="13" fillId="4" borderId="0" xfId="0" applyNumberFormat="1" applyFont="1" applyFill="1" applyAlignment="1" applyProtection="1"/>
    <xf numFmtId="0" fontId="11" fillId="0" borderId="0" xfId="0" applyNumberFormat="1" applyFont="1" applyProtection="1">
      <protection locked="0"/>
    </xf>
    <xf numFmtId="1" fontId="11" fillId="0" borderId="0" xfId="0" applyNumberFormat="1" applyFont="1"/>
    <xf numFmtId="0" fontId="11" fillId="0" borderId="22" xfId="0" applyNumberFormat="1" applyFont="1" applyBorder="1"/>
    <xf numFmtId="0" fontId="15" fillId="0" borderId="0" xfId="0" applyNumberFormat="1" applyFont="1" applyAlignment="1"/>
    <xf numFmtId="166" fontId="11" fillId="0" borderId="0" xfId="0" applyNumberFormat="1" applyFont="1" applyAlignment="1"/>
    <xf numFmtId="0" fontId="11" fillId="0" borderId="0" xfId="0" applyNumberFormat="1" applyFont="1"/>
    <xf numFmtId="0" fontId="11" fillId="0" borderId="0" xfId="0" applyNumberFormat="1" applyFont="1" applyAlignment="1">
      <alignment horizontal="right"/>
    </xf>
    <xf numFmtId="0" fontId="11" fillId="2" borderId="0" xfId="0" applyNumberFormat="1" applyFont="1" applyFill="1" applyProtection="1">
      <protection locked="0"/>
    </xf>
    <xf numFmtId="0" fontId="8" fillId="0" borderId="18" xfId="0" applyFont="1" applyBorder="1" applyAlignment="1">
      <alignment horizontal="center" vertical="top" wrapText="1"/>
    </xf>
    <xf numFmtId="0" fontId="0" fillId="0" borderId="18" xfId="0" applyBorder="1" applyAlignment="1">
      <alignment horizontal="center"/>
    </xf>
    <xf numFmtId="1" fontId="0" fillId="0" borderId="18" xfId="0" applyNumberFormat="1" applyBorder="1" applyAlignment="1">
      <alignment horizontal="center"/>
    </xf>
    <xf numFmtId="164" fontId="0" fillId="0" borderId="18" xfId="0" applyNumberFormat="1" applyBorder="1" applyAlignment="1">
      <alignment horizontal="center"/>
    </xf>
    <xf numFmtId="0" fontId="0" fillId="0" borderId="0" xfId="0" applyAlignment="1">
      <alignment horizontal="center"/>
    </xf>
    <xf numFmtId="3" fontId="0" fillId="0" borderId="18" xfId="0" applyNumberFormat="1" applyBorder="1" applyAlignment="1">
      <alignment horizontal="center"/>
    </xf>
    <xf numFmtId="0" fontId="16" fillId="3" borderId="0" xfId="0" applyNumberFormat="1" applyFont="1" applyFill="1" applyAlignment="1" applyProtection="1"/>
    <xf numFmtId="0" fontId="11" fillId="0" borderId="0" xfId="0" applyNumberFormat="1" applyFont="1" applyFill="1" applyAlignment="1" applyProtection="1"/>
    <xf numFmtId="1" fontId="11" fillId="3" borderId="0" xfId="0" applyNumberFormat="1" applyFont="1" applyFill="1" applyAlignment="1" applyProtection="1"/>
    <xf numFmtId="0" fontId="17" fillId="3" borderId="0" xfId="0" applyNumberFormat="1" applyFont="1" applyFill="1" applyAlignment="1" applyProtection="1"/>
    <xf numFmtId="0" fontId="12" fillId="3" borderId="0" xfId="0" applyNumberFormat="1" applyFont="1" applyFill="1" applyAlignment="1" applyProtection="1">
      <alignment horizontal="right"/>
    </xf>
    <xf numFmtId="165" fontId="11" fillId="0" borderId="0" xfId="0" applyNumberFormat="1" applyFont="1" applyFill="1" applyAlignment="1" applyProtection="1"/>
    <xf numFmtId="0" fontId="0" fillId="4" borderId="0" xfId="0" applyNumberFormat="1" applyFont="1" applyFill="1" applyAlignment="1" applyProtection="1"/>
    <xf numFmtId="165" fontId="11" fillId="0" borderId="0" xfId="0" applyNumberFormat="1" applyFont="1" applyAlignment="1" applyProtection="1"/>
    <xf numFmtId="0" fontId="12" fillId="0" borderId="0" xfId="0" applyNumberFormat="1" applyFont="1" applyAlignment="1"/>
    <xf numFmtId="0" fontId="12" fillId="0" borderId="0" xfId="0" applyNumberFormat="1" applyFont="1" applyProtection="1">
      <protection locked="0"/>
    </xf>
    <xf numFmtId="0" fontId="12" fillId="0" borderId="0" xfId="0" applyNumberFormat="1" applyFont="1"/>
    <xf numFmtId="0" fontId="12" fillId="2" borderId="0" xfId="0" applyNumberFormat="1" applyFont="1" applyFill="1" applyProtection="1">
      <protection locked="0"/>
    </xf>
    <xf numFmtId="1" fontId="12" fillId="0" borderId="0" xfId="0" applyNumberFormat="1" applyFont="1"/>
    <xf numFmtId="1" fontId="12" fillId="0" borderId="0" xfId="0" applyNumberFormat="1" applyFont="1" applyProtection="1">
      <protection locked="0"/>
    </xf>
    <xf numFmtId="1" fontId="12" fillId="2" borderId="0" xfId="0" applyNumberFormat="1" applyFont="1" applyFill="1" applyProtection="1">
      <protection locked="0"/>
    </xf>
    <xf numFmtId="1" fontId="12" fillId="0" borderId="22" xfId="0" applyNumberFormat="1" applyFont="1" applyBorder="1"/>
    <xf numFmtId="0" fontId="12" fillId="0" borderId="22" xfId="0" applyNumberFormat="1" applyFont="1" applyBorder="1"/>
    <xf numFmtId="164" fontId="12" fillId="0" borderId="0" xfId="0" applyNumberFormat="1" applyFont="1"/>
    <xf numFmtId="166" fontId="12" fillId="0" borderId="0" xfId="0" applyNumberFormat="1" applyFont="1" applyAlignment="1"/>
    <xf numFmtId="3" fontId="12" fillId="0" borderId="0" xfId="0" applyNumberFormat="1" applyFont="1"/>
    <xf numFmtId="166" fontId="12" fillId="0" borderId="0" xfId="0" applyNumberFormat="1" applyFont="1"/>
    <xf numFmtId="1" fontId="12" fillId="0" borderId="24" xfId="0" applyNumberFormat="1" applyFont="1" applyBorder="1" applyProtection="1">
      <protection locked="0"/>
    </xf>
    <xf numFmtId="0" fontId="12" fillId="0" borderId="24" xfId="0" applyNumberFormat="1" applyFont="1" applyBorder="1" applyAlignment="1"/>
    <xf numFmtId="1" fontId="12" fillId="0" borderId="24" xfId="0" applyNumberFormat="1" applyFont="1" applyBorder="1"/>
    <xf numFmtId="0" fontId="12" fillId="0" borderId="22" xfId="0" applyNumberFormat="1" applyFont="1" applyBorder="1" applyProtection="1">
      <protection locked="0"/>
    </xf>
    <xf numFmtId="0" fontId="12" fillId="0" borderId="0" xfId="0" applyNumberFormat="1" applyFont="1" applyAlignment="1">
      <alignment horizontal="right"/>
    </xf>
    <xf numFmtId="0" fontId="12" fillId="2" borderId="0" xfId="0" applyNumberFormat="1" applyFont="1" applyFill="1" applyAlignment="1" applyProtection="1">
      <protection locked="0"/>
    </xf>
    <xf numFmtId="2" fontId="12" fillId="2" borderId="0" xfId="0" applyNumberFormat="1" applyFont="1" applyFill="1" applyProtection="1">
      <protection locked="0"/>
    </xf>
    <xf numFmtId="167" fontId="12" fillId="0" borderId="0" xfId="0" applyNumberFormat="1" applyFont="1" applyAlignment="1"/>
    <xf numFmtId="3" fontId="12" fillId="0" borderId="23" xfId="0" applyNumberFormat="1" applyFont="1" applyBorder="1"/>
    <xf numFmtId="164" fontId="12" fillId="0" borderId="0" xfId="0" applyNumberFormat="1" applyFont="1" applyAlignment="1"/>
    <xf numFmtId="3" fontId="12" fillId="0" borderId="22" xfId="0" applyNumberFormat="1" applyFont="1" applyBorder="1"/>
    <xf numFmtId="0" fontId="8" fillId="0" borderId="18" xfId="0" applyFont="1" applyBorder="1" applyAlignment="1">
      <alignment horizontal="center"/>
    </xf>
    <xf numFmtId="0" fontId="19" fillId="5" borderId="0" xfId="0" applyFont="1" applyFill="1"/>
    <xf numFmtId="0" fontId="0" fillId="5" borderId="0" xfId="0" applyFill="1"/>
    <xf numFmtId="0" fontId="0" fillId="4" borderId="0" xfId="0" applyFill="1"/>
    <xf numFmtId="0" fontId="0" fillId="4" borderId="1" xfId="0" applyFill="1" applyBorder="1" applyAlignment="1">
      <alignment vertical="top"/>
    </xf>
    <xf numFmtId="0" fontId="9" fillId="4" borderId="1" xfId="0" applyFont="1" applyFill="1" applyBorder="1" applyAlignment="1">
      <alignment vertical="top" wrapText="1"/>
    </xf>
    <xf numFmtId="0" fontId="0" fillId="4" borderId="17" xfId="0" applyFill="1" applyBorder="1" applyAlignment="1">
      <alignment vertical="top"/>
    </xf>
    <xf numFmtId="0" fontId="7" fillId="4" borderId="1" xfId="0" applyFont="1" applyFill="1" applyBorder="1" applyAlignment="1">
      <alignment vertical="top" wrapText="1"/>
    </xf>
    <xf numFmtId="0" fontId="7" fillId="4" borderId="1" xfId="0" applyFont="1" applyFill="1" applyBorder="1" applyAlignment="1">
      <alignment vertical="top"/>
    </xf>
    <xf numFmtId="0" fontId="9" fillId="4" borderId="1" xfId="0" applyFont="1" applyFill="1" applyBorder="1" applyAlignment="1">
      <alignment vertical="top"/>
    </xf>
    <xf numFmtId="0" fontId="9" fillId="4" borderId="18" xfId="0" applyFont="1" applyFill="1" applyBorder="1" applyAlignment="1">
      <alignment vertical="top"/>
    </xf>
    <xf numFmtId="0" fontId="0" fillId="4" borderId="18" xfId="0" applyFill="1" applyBorder="1"/>
    <xf numFmtId="0" fontId="0" fillId="4" borderId="19" xfId="0" applyFill="1" applyBorder="1"/>
    <xf numFmtId="0" fontId="14" fillId="5" borderId="0" xfId="0" applyNumberFormat="1" applyFont="1" applyFill="1" applyAlignment="1"/>
    <xf numFmtId="0" fontId="11" fillId="5" borderId="0" xfId="0" applyNumberFormat="1" applyFont="1" applyFill="1" applyAlignment="1"/>
    <xf numFmtId="0" fontId="12" fillId="4" borderId="0" xfId="0" applyNumberFormat="1" applyFont="1" applyFill="1" applyAlignment="1"/>
    <xf numFmtId="0" fontId="12" fillId="4" borderId="0" xfId="0" applyNumberFormat="1" applyFont="1" applyFill="1" applyProtection="1">
      <protection locked="0"/>
    </xf>
    <xf numFmtId="0" fontId="15" fillId="4" borderId="0" xfId="0" applyNumberFormat="1" applyFont="1" applyFill="1" applyAlignment="1" applyProtection="1">
      <protection locked="0"/>
    </xf>
    <xf numFmtId="0" fontId="15" fillId="4" borderId="0" xfId="0" applyNumberFormat="1" applyFont="1" applyFill="1" applyAlignment="1"/>
    <xf numFmtId="0" fontId="12" fillId="4" borderId="0" xfId="0" quotePrefix="1" applyNumberFormat="1" applyFont="1" applyFill="1" applyAlignment="1"/>
    <xf numFmtId="0" fontId="18" fillId="4" borderId="0" xfId="0" applyFont="1" applyFill="1"/>
    <xf numFmtId="0" fontId="8" fillId="5" borderId="0" xfId="0" applyFont="1" applyFill="1"/>
    <xf numFmtId="0" fontId="15" fillId="5" borderId="0" xfId="0" applyNumberFormat="1" applyFont="1" applyFill="1" applyAlignment="1"/>
    <xf numFmtId="0" fontId="12" fillId="5" borderId="0" xfId="0" applyNumberFormat="1" applyFont="1" applyFill="1" applyAlignment="1"/>
    <xf numFmtId="0" fontId="11" fillId="4" borderId="0" xfId="0" applyNumberFormat="1" applyFont="1" applyFill="1" applyAlignment="1">
      <alignment horizontal="right"/>
    </xf>
    <xf numFmtId="0" fontId="12" fillId="4" borderId="0" xfId="0" applyNumberFormat="1" applyFont="1" applyFill="1" applyAlignment="1" applyProtection="1">
      <protection locked="0"/>
    </xf>
    <xf numFmtId="0" fontId="8" fillId="4" borderId="0" xfId="0" applyFont="1" applyFill="1"/>
    <xf numFmtId="166" fontId="11" fillId="4" borderId="0" xfId="0" applyNumberFormat="1" applyFont="1" applyFill="1"/>
    <xf numFmtId="166" fontId="11" fillId="4" borderId="22" xfId="0" applyNumberFormat="1" applyFont="1" applyFill="1" applyBorder="1" applyAlignment="1"/>
    <xf numFmtId="0" fontId="12" fillId="4" borderId="22" xfId="0" applyNumberFormat="1" applyFont="1" applyFill="1" applyBorder="1"/>
    <xf numFmtId="166" fontId="11" fillId="4" borderId="0" xfId="0" applyNumberFormat="1" applyFont="1" applyFill="1" applyAlignment="1"/>
    <xf numFmtId="0" fontId="8" fillId="4" borderId="26" xfId="0" applyFont="1" applyFill="1" applyBorder="1" applyAlignment="1">
      <alignment horizontal="center" vertical="top" wrapText="1"/>
    </xf>
    <xf numFmtId="0" fontId="8" fillId="4" borderId="12" xfId="0" applyFont="1" applyFill="1" applyBorder="1" applyAlignment="1">
      <alignment horizontal="center" vertical="top" wrapText="1"/>
    </xf>
    <xf numFmtId="0" fontId="8" fillId="4" borderId="27" xfId="0" applyFont="1" applyFill="1" applyBorder="1" applyAlignment="1">
      <alignment horizontal="center" vertical="top" wrapText="1"/>
    </xf>
    <xf numFmtId="0" fontId="8" fillId="4" borderId="13" xfId="0" applyFont="1" applyFill="1" applyBorder="1" applyAlignment="1">
      <alignment horizontal="center" vertical="top" wrapText="1"/>
    </xf>
    <xf numFmtId="0" fontId="0" fillId="4" borderId="14" xfId="0" applyFill="1" applyBorder="1" applyAlignment="1">
      <alignment vertical="top"/>
    </xf>
    <xf numFmtId="0" fontId="0" fillId="4" borderId="20" xfId="0" applyFill="1" applyBorder="1"/>
    <xf numFmtId="0" fontId="0" fillId="4" borderId="21" xfId="0" applyFill="1" applyBorder="1"/>
    <xf numFmtId="0" fontId="8" fillId="4" borderId="14" xfId="0" applyFont="1" applyFill="1" applyBorder="1" applyAlignment="1">
      <alignment vertical="top"/>
    </xf>
    <xf numFmtId="0" fontId="7" fillId="4" borderId="14" xfId="0" applyFont="1" applyFill="1" applyBorder="1" applyAlignment="1">
      <alignment vertical="top"/>
    </xf>
    <xf numFmtId="0" fontId="9" fillId="4" borderId="14" xfId="0" applyFont="1" applyFill="1" applyBorder="1" applyAlignment="1">
      <alignment vertical="top"/>
    </xf>
    <xf numFmtId="0" fontId="0" fillId="4" borderId="19" xfId="0" applyFill="1" applyBorder="1" applyAlignment="1">
      <alignment vertical="top"/>
    </xf>
    <xf numFmtId="0" fontId="10" fillId="5" borderId="0" xfId="0" applyNumberFormat="1" applyFont="1" applyFill="1" applyAlignment="1"/>
    <xf numFmtId="0" fontId="12" fillId="0" borderId="0" xfId="0" applyNumberFormat="1" applyFont="1" applyFill="1" applyAlignment="1"/>
    <xf numFmtId="0" fontId="11" fillId="0" borderId="0" xfId="0" applyNumberFormat="1" applyFont="1" applyFill="1" applyAlignment="1"/>
    <xf numFmtId="166" fontId="0" fillId="0" borderId="18" xfId="0" applyNumberFormat="1" applyFill="1" applyBorder="1" applyProtection="1">
      <protection locked="0"/>
    </xf>
    <xf numFmtId="1" fontId="8" fillId="0" borderId="18" xfId="0" applyNumberFormat="1" applyFont="1" applyBorder="1" applyAlignment="1">
      <alignment horizontal="center"/>
    </xf>
    <xf numFmtId="1" fontId="12" fillId="0" borderId="24" xfId="0" applyNumberFormat="1" applyFont="1" applyFill="1" applyBorder="1" applyProtection="1">
      <protection locked="0"/>
    </xf>
    <xf numFmtId="166" fontId="8" fillId="0" borderId="18" xfId="0" applyNumberFormat="1" applyFont="1" applyBorder="1" applyAlignment="1">
      <alignment horizontal="center"/>
    </xf>
    <xf numFmtId="0" fontId="20" fillId="0" borderId="0" xfId="0" applyNumberFormat="1" applyFont="1" applyAlignment="1" applyProtection="1"/>
    <xf numFmtId="0" fontId="20" fillId="2" borderId="0" xfId="0" applyNumberFormat="1" applyFont="1" applyFill="1" applyAlignment="1" applyProtection="1">
      <alignment horizontal="center"/>
      <protection locked="0"/>
    </xf>
    <xf numFmtId="0" fontId="21" fillId="0" borderId="0" xfId="0" applyNumberFormat="1" applyFont="1" applyFill="1" applyAlignment="1" applyProtection="1">
      <alignment horizontal="right"/>
    </xf>
    <xf numFmtId="0" fontId="21" fillId="0" borderId="0" xfId="0" applyNumberFormat="1" applyFont="1" applyAlignment="1" applyProtection="1">
      <alignment horizontal="right"/>
    </xf>
    <xf numFmtId="0" fontId="20" fillId="2" borderId="0" xfId="0" applyNumberFormat="1" applyFont="1" applyFill="1" applyAlignment="1" applyProtection="1">
      <protection locked="0"/>
    </xf>
    <xf numFmtId="9" fontId="20" fillId="2" borderId="0" xfId="0" applyNumberFormat="1" applyFont="1" applyFill="1" applyAlignment="1" applyProtection="1">
      <protection locked="0"/>
    </xf>
    <xf numFmtId="164" fontId="20" fillId="0" borderId="0" xfId="0" applyNumberFormat="1" applyFont="1" applyFill="1" applyAlignment="1" applyProtection="1"/>
    <xf numFmtId="1" fontId="20" fillId="0" borderId="0" xfId="0" applyNumberFormat="1" applyFont="1" applyFill="1" applyAlignment="1" applyProtection="1"/>
    <xf numFmtId="3" fontId="20" fillId="0" borderId="0" xfId="0" applyNumberFormat="1" applyFont="1" applyFill="1" applyAlignment="1" applyProtection="1"/>
    <xf numFmtId="1" fontId="20" fillId="3" borderId="0" xfId="0" applyNumberFormat="1" applyFont="1" applyFill="1" applyAlignment="1" applyProtection="1"/>
    <xf numFmtId="0" fontId="21" fillId="3" borderId="0" xfId="0" applyNumberFormat="1" applyFont="1" applyFill="1" applyAlignment="1" applyProtection="1">
      <alignment horizontal="right"/>
    </xf>
    <xf numFmtId="165" fontId="20" fillId="2" borderId="0" xfId="0" applyNumberFormat="1" applyFont="1" applyFill="1" applyAlignment="1" applyProtection="1">
      <protection locked="0"/>
    </xf>
    <xf numFmtId="166" fontId="20" fillId="0" borderId="24" xfId="0" applyNumberFormat="1" applyFont="1" applyFill="1" applyBorder="1" applyAlignment="1" applyProtection="1"/>
    <xf numFmtId="166" fontId="20" fillId="0" borderId="0" xfId="0" applyNumberFormat="1" applyFont="1" applyFill="1" applyAlignment="1" applyProtection="1"/>
    <xf numFmtId="0" fontId="20" fillId="0" borderId="0" xfId="0" applyNumberFormat="1" applyFont="1" applyFill="1" applyAlignment="1" applyProtection="1"/>
    <xf numFmtId="9" fontId="20" fillId="0" borderId="0" xfId="0" applyNumberFormat="1" applyFont="1" applyFill="1" applyAlignment="1" applyProtection="1"/>
    <xf numFmtId="165" fontId="20" fillId="0" borderId="0" xfId="0" applyNumberFormat="1" applyFont="1" applyFill="1" applyAlignment="1" applyProtection="1"/>
    <xf numFmtId="164" fontId="20" fillId="2" borderId="0" xfId="0" applyNumberFormat="1" applyFont="1" applyFill="1" applyAlignment="1" applyProtection="1">
      <protection locked="0"/>
    </xf>
    <xf numFmtId="166" fontId="20" fillId="0" borderId="0" xfId="0" applyNumberFormat="1" applyFont="1" applyAlignment="1" applyProtection="1"/>
    <xf numFmtId="3" fontId="20" fillId="0" borderId="0" xfId="0" applyNumberFormat="1" applyFont="1" applyAlignment="1" applyProtection="1"/>
    <xf numFmtId="165" fontId="20" fillId="0" borderId="0" xfId="0" applyNumberFormat="1" applyFont="1" applyAlignment="1" applyProtection="1"/>
    <xf numFmtId="0" fontId="22" fillId="4" borderId="0" xfId="0" applyNumberFormat="1" applyFont="1" applyFill="1" applyAlignment="1" applyProtection="1"/>
    <xf numFmtId="0" fontId="20" fillId="4" borderId="0" xfId="0" applyNumberFormat="1" applyFont="1" applyFill="1" applyAlignment="1" applyProtection="1"/>
    <xf numFmtId="0" fontId="21" fillId="4" borderId="0" xfId="0" applyNumberFormat="1" applyFont="1" applyFill="1" applyAlignment="1" applyProtection="1"/>
    <xf numFmtId="0" fontId="21" fillId="4" borderId="0" xfId="0" applyNumberFormat="1" applyFont="1" applyFill="1" applyAlignment="1" applyProtection="1">
      <alignment horizontal="right"/>
    </xf>
    <xf numFmtId="0" fontId="20" fillId="3" borderId="0" xfId="0" applyNumberFormat="1" applyFont="1" applyFill="1" applyAlignment="1" applyProtection="1"/>
    <xf numFmtId="0" fontId="21" fillId="3" borderId="0" xfId="0" applyNumberFormat="1" applyFont="1" applyFill="1" applyAlignment="1" applyProtection="1"/>
    <xf numFmtId="0" fontId="20" fillId="4" borderId="24" xfId="0" applyNumberFormat="1" applyFont="1" applyFill="1" applyBorder="1" applyProtection="1"/>
    <xf numFmtId="0" fontId="20" fillId="4" borderId="0" xfId="0" applyNumberFormat="1" applyFont="1" applyFill="1" applyBorder="1" applyProtection="1"/>
    <xf numFmtId="3" fontId="20" fillId="2" borderId="0" xfId="0" applyNumberFormat="1" applyFont="1" applyFill="1" applyAlignment="1" applyProtection="1">
      <protection locked="0"/>
    </xf>
    <xf numFmtId="164" fontId="20" fillId="0" borderId="0" xfId="0" applyNumberFormat="1" applyFont="1" applyAlignment="1" applyProtection="1"/>
    <xf numFmtId="0" fontId="0" fillId="4" borderId="28" xfId="0" applyFill="1" applyBorder="1"/>
    <xf numFmtId="166" fontId="0" fillId="2" borderId="28" xfId="0" applyNumberFormat="1" applyFill="1" applyBorder="1" applyProtection="1">
      <protection locked="0"/>
    </xf>
    <xf numFmtId="166" fontId="0" fillId="0" borderId="28" xfId="0" applyNumberFormat="1" applyBorder="1"/>
    <xf numFmtId="0" fontId="9" fillId="4" borderId="0" xfId="0" applyFont="1" applyFill="1"/>
    <xf numFmtId="0" fontId="8" fillId="0" borderId="28" xfId="0" applyFont="1" applyBorder="1" applyAlignment="1">
      <alignment horizontal="right"/>
    </xf>
    <xf numFmtId="165" fontId="0" fillId="0" borderId="28" xfId="0" applyNumberFormat="1" applyBorder="1"/>
    <xf numFmtId="0" fontId="0" fillId="6" borderId="28" xfId="0" applyFill="1" applyBorder="1" applyProtection="1">
      <protection locked="0"/>
    </xf>
    <xf numFmtId="165" fontId="0" fillId="6" borderId="28" xfId="0" applyNumberFormat="1" applyFill="1" applyBorder="1" applyProtection="1">
      <protection locked="0"/>
    </xf>
    <xf numFmtId="9" fontId="0" fillId="6" borderId="28" xfId="0" applyNumberFormat="1" applyFill="1" applyBorder="1" applyProtection="1">
      <protection locked="0"/>
    </xf>
    <xf numFmtId="165" fontId="0" fillId="0" borderId="28" xfId="0" applyNumberFormat="1" applyBorder="1" applyProtection="1">
      <protection locked="0"/>
    </xf>
    <xf numFmtId="0" fontId="0" fillId="4" borderId="0" xfId="0" applyFill="1" applyBorder="1" applyAlignment="1">
      <alignment vertical="top"/>
    </xf>
    <xf numFmtId="0" fontId="7" fillId="0" borderId="0" xfId="0" applyFont="1" applyBorder="1" applyAlignment="1">
      <alignment vertical="top"/>
    </xf>
    <xf numFmtId="1" fontId="7" fillId="0" borderId="0" xfId="0" applyNumberFormat="1" applyFont="1" applyBorder="1" applyAlignment="1">
      <alignment horizontal="center" vertical="top"/>
    </xf>
    <xf numFmtId="0" fontId="0" fillId="0" borderId="28" xfId="0" applyBorder="1"/>
    <xf numFmtId="0" fontId="0" fillId="0" borderId="28" xfId="0" applyBorder="1" applyAlignment="1">
      <alignment horizontal="right"/>
    </xf>
    <xf numFmtId="0" fontId="8" fillId="0" borderId="28" xfId="0" applyFont="1" applyFill="1" applyBorder="1" applyAlignment="1">
      <alignment horizontal="left" vertical="top" wrapText="1"/>
    </xf>
    <xf numFmtId="49" fontId="8" fillId="0" borderId="28" xfId="0" applyNumberFormat="1" applyFont="1" applyFill="1" applyBorder="1" applyAlignment="1">
      <alignment horizontal="left" vertical="top"/>
    </xf>
    <xf numFmtId="0" fontId="8" fillId="0" borderId="28" xfId="0" applyFont="1" applyBorder="1" applyAlignment="1">
      <alignment horizontal="left"/>
    </xf>
    <xf numFmtId="0" fontId="8" fillId="0" borderId="28" xfId="0" applyFont="1" applyBorder="1"/>
    <xf numFmtId="164" fontId="0" fillId="0" borderId="28" xfId="0" applyNumberFormat="1" applyBorder="1"/>
    <xf numFmtId="166" fontId="0" fillId="6" borderId="28" xfId="0" applyNumberFormat="1" applyFill="1" applyBorder="1" applyProtection="1">
      <protection locked="0"/>
    </xf>
    <xf numFmtId="0" fontId="0" fillId="6" borderId="28" xfId="0" applyFont="1" applyFill="1" applyBorder="1" applyAlignment="1" applyProtection="1">
      <alignment horizontal="right" vertical="top" wrapText="1"/>
      <protection locked="0"/>
    </xf>
    <xf numFmtId="0" fontId="0" fillId="6" borderId="28" xfId="0" applyFont="1" applyFill="1" applyBorder="1" applyAlignment="1" applyProtection="1">
      <alignment horizontal="right"/>
      <protection locked="0"/>
    </xf>
    <xf numFmtId="0" fontId="9" fillId="4" borderId="0" xfId="0" applyFont="1" applyFill="1" applyBorder="1"/>
    <xf numFmtId="0" fontId="11" fillId="0" borderId="0" xfId="0" applyNumberFormat="1" applyFont="1" applyAlignment="1">
      <alignment horizontal="center"/>
    </xf>
    <xf numFmtId="0" fontId="0" fillId="0" borderId="30" xfId="0" applyBorder="1"/>
    <xf numFmtId="0" fontId="0" fillId="4" borderId="31" xfId="0" applyFill="1" applyBorder="1"/>
    <xf numFmtId="0" fontId="0" fillId="4" borderId="29" xfId="0" applyFill="1" applyBorder="1"/>
    <xf numFmtId="0" fontId="0" fillId="0" borderId="32" xfId="0" applyBorder="1"/>
    <xf numFmtId="0" fontId="0" fillId="0" borderId="15" xfId="0" applyBorder="1"/>
    <xf numFmtId="0" fontId="8" fillId="0" borderId="31" xfId="0" applyFont="1" applyBorder="1" applyAlignment="1">
      <alignment horizontal="right"/>
    </xf>
    <xf numFmtId="0" fontId="0" fillId="0" borderId="31" xfId="0" applyBorder="1"/>
    <xf numFmtId="166" fontId="0" fillId="0" borderId="31" xfId="0" applyNumberFormat="1" applyBorder="1"/>
    <xf numFmtId="165" fontId="0" fillId="0" borderId="31" xfId="0" applyNumberFormat="1" applyBorder="1"/>
    <xf numFmtId="0" fontId="0" fillId="4" borderId="30" xfId="0" applyFill="1" applyBorder="1"/>
    <xf numFmtId="3" fontId="0" fillId="0" borderId="28" xfId="0" applyNumberFormat="1" applyBorder="1" applyAlignment="1">
      <alignment horizontal="center"/>
    </xf>
    <xf numFmtId="0" fontId="0" fillId="0" borderId="28" xfId="0" applyBorder="1" applyAlignment="1">
      <alignment horizontal="center"/>
    </xf>
    <xf numFmtId="0" fontId="0" fillId="2" borderId="28" xfId="0" applyFill="1" applyBorder="1" applyProtection="1">
      <protection locked="0"/>
    </xf>
    <xf numFmtId="165" fontId="0" fillId="2" borderId="28" xfId="0" applyNumberFormat="1" applyFill="1" applyBorder="1" applyProtection="1">
      <protection locked="0"/>
    </xf>
    <xf numFmtId="9" fontId="0" fillId="2" borderId="28" xfId="0" applyNumberFormat="1" applyFill="1" applyBorder="1" applyProtection="1">
      <protection locked="0"/>
    </xf>
    <xf numFmtId="0" fontId="0" fillId="2" borderId="31" xfId="0" applyFill="1" applyBorder="1" applyProtection="1">
      <protection locked="0"/>
    </xf>
    <xf numFmtId="0" fontId="0" fillId="2" borderId="30" xfId="0" applyFill="1" applyBorder="1"/>
    <xf numFmtId="165" fontId="0" fillId="2" borderId="31" xfId="0" applyNumberFormat="1" applyFill="1" applyBorder="1" applyProtection="1">
      <protection locked="0"/>
    </xf>
    <xf numFmtId="9" fontId="0" fillId="2" borderId="31" xfId="0" applyNumberFormat="1" applyFill="1" applyBorder="1" applyProtection="1">
      <protection locked="0"/>
    </xf>
    <xf numFmtId="0" fontId="8" fillId="2" borderId="13" xfId="0" applyFont="1" applyFill="1" applyBorder="1" applyAlignment="1" applyProtection="1">
      <alignment horizontal="center" vertical="top" wrapText="1"/>
      <protection locked="0"/>
    </xf>
    <xf numFmtId="0" fontId="12" fillId="0" borderId="0" xfId="0" applyNumberFormat="1" applyFont="1" applyProtection="1"/>
    <xf numFmtId="0" fontId="12" fillId="0" borderId="0" xfId="0" applyNumberFormat="1" applyFont="1" applyAlignment="1" applyProtection="1"/>
    <xf numFmtId="166" fontId="0" fillId="0" borderId="0" xfId="0" applyNumberFormat="1"/>
    <xf numFmtId="1" fontId="0" fillId="7" borderId="18" xfId="0" applyNumberFormat="1" applyFill="1" applyBorder="1" applyAlignment="1">
      <alignment horizontal="center"/>
    </xf>
    <xf numFmtId="0" fontId="4" fillId="0" borderId="10" xfId="0" applyFont="1" applyFill="1" applyBorder="1" applyAlignment="1">
      <alignment horizontal="center" vertical="top"/>
    </xf>
    <xf numFmtId="0" fontId="4" fillId="0" borderId="7" xfId="0" applyFont="1" applyFill="1" applyBorder="1" applyAlignment="1">
      <alignment horizontal="center" vertical="top"/>
    </xf>
    <xf numFmtId="0" fontId="4" fillId="0" borderId="8" xfId="0" applyFont="1" applyFill="1" applyBorder="1" applyAlignment="1">
      <alignment horizontal="center" vertical="top"/>
    </xf>
    <xf numFmtId="0" fontId="8" fillId="0" borderId="11" xfId="0" applyFont="1" applyBorder="1" applyAlignment="1">
      <alignment vertical="top" wrapText="1"/>
    </xf>
    <xf numFmtId="0" fontId="8" fillId="0" borderId="1" xfId="0" applyFont="1" applyBorder="1" applyAlignment="1">
      <alignment vertical="top" wrapText="1"/>
    </xf>
    <xf numFmtId="0" fontId="8" fillId="4" borderId="11" xfId="0" applyFont="1" applyFill="1" applyBorder="1" applyAlignment="1">
      <alignment vertical="top" wrapText="1"/>
    </xf>
    <xf numFmtId="0" fontId="8" fillId="4" borderId="1" xfId="0" applyFont="1" applyFill="1" applyBorder="1" applyAlignment="1">
      <alignment vertical="top" wrapText="1"/>
    </xf>
    <xf numFmtId="0" fontId="8" fillId="4" borderId="25" xfId="0" applyFont="1" applyFill="1" applyBorder="1" applyAlignment="1">
      <alignment vertical="top"/>
    </xf>
    <xf numFmtId="0" fontId="8" fillId="4" borderId="14" xfId="0" applyFont="1" applyFill="1" applyBorder="1" applyAlignment="1">
      <alignment vertical="top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600075</xdr:colOff>
      <xdr:row>3</xdr:row>
      <xdr:rowOff>19050</xdr:rowOff>
    </xdr:from>
    <xdr:to>
      <xdr:col>1</xdr:col>
      <xdr:colOff>638175</xdr:colOff>
      <xdr:row>32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2266950" y="590550"/>
          <a:ext cx="38100" cy="5638800"/>
        </a:xfrm>
        <a:prstGeom prst="line">
          <a:avLst/>
        </a:prstGeom>
        <a:ln>
          <a:solidFill>
            <a:schemeClr val="tx1">
              <a:lumMod val="95000"/>
              <a:lumOff val="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4"/>
  <sheetViews>
    <sheetView workbookViewId="0">
      <selection activeCell="B11" sqref="B11"/>
    </sheetView>
  </sheetViews>
  <sheetFormatPr defaultRowHeight="15" x14ac:dyDescent="0.25"/>
  <cols>
    <col min="1" max="1" width="25" bestFit="1" customWidth="1"/>
    <col min="2" max="2" width="21" bestFit="1" customWidth="1"/>
    <col min="3" max="3" width="15" customWidth="1"/>
    <col min="4" max="4" width="12.5703125" customWidth="1"/>
    <col min="5" max="5" width="15.140625" customWidth="1"/>
    <col min="6" max="8" width="10.42578125" bestFit="1" customWidth="1"/>
  </cols>
  <sheetData>
    <row r="1" spans="1:8" x14ac:dyDescent="0.25">
      <c r="A1" s="6" t="s">
        <v>0</v>
      </c>
      <c r="B1" s="21"/>
      <c r="C1" s="17"/>
      <c r="D1" s="18"/>
      <c r="E1" s="18"/>
      <c r="F1" s="18"/>
      <c r="G1" s="18"/>
      <c r="H1" s="18"/>
    </row>
    <row r="2" spans="1:8" x14ac:dyDescent="0.25">
      <c r="A2" s="8" t="s">
        <v>1</v>
      </c>
      <c r="B2" s="9" t="s">
        <v>35</v>
      </c>
      <c r="C2" s="17"/>
      <c r="D2" s="18"/>
      <c r="E2" s="18"/>
      <c r="F2" s="18"/>
      <c r="G2" s="18"/>
      <c r="H2" s="18"/>
    </row>
    <row r="3" spans="1:8" x14ac:dyDescent="0.25">
      <c r="A3" s="10"/>
      <c r="B3" s="11" t="s">
        <v>2</v>
      </c>
      <c r="C3" s="17"/>
      <c r="D3" s="18"/>
      <c r="E3" s="18"/>
      <c r="F3" s="18"/>
      <c r="G3" s="18"/>
      <c r="H3" s="18"/>
    </row>
    <row r="4" spans="1:8" ht="25.5" x14ac:dyDescent="0.25">
      <c r="A4" s="22" t="s">
        <v>3</v>
      </c>
      <c r="B4" s="23" t="s">
        <v>34</v>
      </c>
      <c r="C4" s="24" t="s">
        <v>36</v>
      </c>
      <c r="D4" s="24" t="s">
        <v>37</v>
      </c>
      <c r="E4" s="24" t="s">
        <v>38</v>
      </c>
      <c r="F4" s="245" t="s">
        <v>44</v>
      </c>
      <c r="G4" s="246"/>
      <c r="H4" s="247"/>
    </row>
    <row r="5" spans="1:8" x14ac:dyDescent="0.25">
      <c r="A5" s="43" t="s">
        <v>5</v>
      </c>
      <c r="B5" s="1"/>
      <c r="C5" s="19"/>
      <c r="D5" s="19"/>
      <c r="E5" s="19"/>
      <c r="F5" s="25" t="s">
        <v>40</v>
      </c>
      <c r="G5" s="25" t="s">
        <v>41</v>
      </c>
      <c r="H5" s="25" t="s">
        <v>42</v>
      </c>
    </row>
    <row r="6" spans="1:8" x14ac:dyDescent="0.25">
      <c r="A6" s="2" t="s">
        <v>4</v>
      </c>
      <c r="B6" s="1"/>
      <c r="C6" s="19"/>
      <c r="D6" s="19"/>
      <c r="E6" s="19"/>
      <c r="F6" s="18"/>
      <c r="G6" s="18"/>
      <c r="H6" s="18"/>
    </row>
    <row r="7" spans="1:8" x14ac:dyDescent="0.25">
      <c r="A7" s="3" t="s">
        <v>6</v>
      </c>
      <c r="B7" s="15"/>
      <c r="C7" s="19"/>
      <c r="D7" s="19"/>
      <c r="E7" s="19"/>
      <c r="F7" s="18"/>
      <c r="G7" s="18"/>
      <c r="H7" s="18"/>
    </row>
    <row r="8" spans="1:8" x14ac:dyDescent="0.25">
      <c r="A8" s="3" t="s">
        <v>7</v>
      </c>
      <c r="B8" s="16"/>
      <c r="C8" s="19"/>
      <c r="D8" s="19"/>
      <c r="E8" s="19"/>
      <c r="F8" s="18"/>
      <c r="G8" s="18"/>
      <c r="H8" s="18"/>
    </row>
    <row r="9" spans="1:8" x14ac:dyDescent="0.25">
      <c r="A9" s="3" t="s">
        <v>8</v>
      </c>
      <c r="B9" s="16"/>
      <c r="C9" s="19"/>
      <c r="D9" s="19"/>
      <c r="E9" s="19"/>
      <c r="F9" s="18"/>
      <c r="G9" s="18"/>
      <c r="H9" s="18"/>
    </row>
    <row r="10" spans="1:8" x14ac:dyDescent="0.25">
      <c r="A10" s="3" t="s">
        <v>25</v>
      </c>
      <c r="B10" s="16"/>
      <c r="C10" s="19"/>
      <c r="D10" s="19"/>
      <c r="E10" s="19"/>
      <c r="F10" s="18"/>
      <c r="G10" s="18"/>
      <c r="H10" s="18"/>
    </row>
    <row r="11" spans="1:8" x14ac:dyDescent="0.25">
      <c r="A11" s="2" t="s">
        <v>9</v>
      </c>
      <c r="B11" s="1"/>
      <c r="C11" s="19"/>
      <c r="D11" s="19"/>
      <c r="E11" s="19"/>
      <c r="F11" s="18"/>
      <c r="G11" s="18"/>
      <c r="H11" s="18"/>
    </row>
    <row r="12" spans="1:8" x14ac:dyDescent="0.25">
      <c r="A12" s="3" t="s">
        <v>10</v>
      </c>
      <c r="B12" s="15"/>
      <c r="C12" s="19"/>
      <c r="D12" s="19"/>
      <c r="E12" s="19"/>
      <c r="F12" s="18"/>
      <c r="G12" s="18"/>
      <c r="H12" s="18"/>
    </row>
    <row r="13" spans="1:8" x14ac:dyDescent="0.25">
      <c r="A13" s="3" t="s">
        <v>11</v>
      </c>
      <c r="B13" s="16"/>
      <c r="C13" s="19"/>
      <c r="D13" s="19"/>
      <c r="E13" s="19"/>
      <c r="F13" s="18"/>
      <c r="G13" s="18"/>
      <c r="H13" s="18"/>
    </row>
    <row r="14" spans="1:8" x14ac:dyDescent="0.25">
      <c r="A14" s="2" t="s">
        <v>43</v>
      </c>
      <c r="B14" s="1"/>
      <c r="C14" s="19"/>
      <c r="D14" s="19"/>
      <c r="E14" s="19"/>
      <c r="F14" s="18"/>
      <c r="G14" s="18"/>
      <c r="H14" s="18"/>
    </row>
    <row r="15" spans="1:8" x14ac:dyDescent="0.25">
      <c r="A15" s="3" t="s">
        <v>10</v>
      </c>
      <c r="B15" s="15"/>
      <c r="C15" s="19"/>
      <c r="D15" s="19"/>
      <c r="E15" s="19"/>
      <c r="F15" s="18"/>
      <c r="G15" s="18"/>
      <c r="H15" s="18"/>
    </row>
    <row r="16" spans="1:8" x14ac:dyDescent="0.25">
      <c r="A16" s="3" t="s">
        <v>11</v>
      </c>
      <c r="B16" s="16"/>
      <c r="C16" s="19"/>
      <c r="D16" s="19"/>
      <c r="E16" s="19"/>
      <c r="F16" s="18"/>
      <c r="G16" s="18"/>
      <c r="H16" s="18"/>
    </row>
    <row r="17" spans="1:8" x14ac:dyDescent="0.25">
      <c r="A17" s="2" t="s">
        <v>12</v>
      </c>
      <c r="B17" s="1"/>
      <c r="C17" s="19"/>
      <c r="D17" s="19"/>
      <c r="E17" s="19"/>
      <c r="F17" s="18"/>
      <c r="G17" s="18"/>
      <c r="H17" s="18"/>
    </row>
    <row r="18" spans="1:8" x14ac:dyDescent="0.25">
      <c r="A18" s="3" t="s">
        <v>13</v>
      </c>
      <c r="B18" s="15"/>
      <c r="C18" s="19"/>
      <c r="D18" s="19"/>
      <c r="E18" s="19"/>
      <c r="F18" s="18"/>
      <c r="G18" s="18"/>
      <c r="H18" s="18"/>
    </row>
    <row r="19" spans="1:8" x14ac:dyDescent="0.25">
      <c r="A19" s="3" t="s">
        <v>14</v>
      </c>
      <c r="B19" s="16"/>
      <c r="C19" s="19"/>
      <c r="D19" s="19"/>
      <c r="E19" s="19"/>
      <c r="F19" s="18"/>
      <c r="G19" s="18"/>
      <c r="H19" s="18"/>
    </row>
    <row r="20" spans="1:8" x14ac:dyDescent="0.25">
      <c r="A20" s="2" t="s">
        <v>15</v>
      </c>
      <c r="B20" s="16"/>
      <c r="C20" s="19"/>
      <c r="D20" s="19"/>
      <c r="E20" s="19"/>
      <c r="F20" s="18"/>
      <c r="G20" s="18"/>
      <c r="H20" s="18"/>
    </row>
    <row r="21" spans="1:8" x14ac:dyDescent="0.25">
      <c r="A21" s="2" t="s">
        <v>16</v>
      </c>
      <c r="B21" s="16"/>
      <c r="C21" s="19"/>
      <c r="D21" s="19"/>
      <c r="E21" s="19"/>
      <c r="F21" s="18"/>
      <c r="G21" s="18"/>
      <c r="H21" s="18"/>
    </row>
    <row r="22" spans="1:8" x14ac:dyDescent="0.25">
      <c r="A22" s="2" t="s">
        <v>17</v>
      </c>
      <c r="B22" s="16"/>
      <c r="C22" s="19"/>
      <c r="D22" s="19"/>
      <c r="E22" s="19"/>
      <c r="F22" s="18"/>
      <c r="G22" s="18"/>
      <c r="H22" s="18"/>
    </row>
    <row r="23" spans="1:8" x14ac:dyDescent="0.25">
      <c r="A23" s="2" t="s">
        <v>18</v>
      </c>
      <c r="B23" s="16"/>
      <c r="C23" s="19"/>
      <c r="D23" s="19"/>
      <c r="E23" s="19"/>
      <c r="F23" s="18"/>
      <c r="G23" s="18"/>
      <c r="H23" s="18"/>
    </row>
    <row r="24" spans="1:8" x14ac:dyDescent="0.25">
      <c r="A24" s="2" t="s">
        <v>19</v>
      </c>
      <c r="B24" s="16"/>
      <c r="C24" s="19"/>
      <c r="D24" s="19"/>
      <c r="E24" s="19"/>
      <c r="F24" s="18"/>
      <c r="G24" s="18"/>
      <c r="H24" s="18"/>
    </row>
    <row r="25" spans="1:8" x14ac:dyDescent="0.25">
      <c r="A25" s="2" t="s">
        <v>20</v>
      </c>
      <c r="B25" s="16"/>
      <c r="C25" s="19"/>
      <c r="D25" s="19"/>
      <c r="E25" s="19"/>
      <c r="F25" s="18"/>
      <c r="G25" s="18"/>
      <c r="H25" s="18"/>
    </row>
    <row r="26" spans="1:8" x14ac:dyDescent="0.25">
      <c r="A26" s="2" t="s">
        <v>21</v>
      </c>
      <c r="B26" s="16"/>
      <c r="C26" s="19"/>
      <c r="D26" s="19"/>
      <c r="E26" s="19"/>
      <c r="F26" s="18"/>
      <c r="G26" s="18"/>
      <c r="H26" s="18"/>
    </row>
    <row r="27" spans="1:8" x14ac:dyDescent="0.25">
      <c r="A27" s="2" t="s">
        <v>22</v>
      </c>
      <c r="B27" s="1"/>
      <c r="C27" s="19"/>
      <c r="D27" s="19"/>
      <c r="E27" s="19"/>
      <c r="F27" s="18"/>
      <c r="G27" s="18"/>
      <c r="H27" s="18"/>
    </row>
    <row r="28" spans="1:8" x14ac:dyDescent="0.25">
      <c r="A28" s="3" t="s">
        <v>23</v>
      </c>
      <c r="B28" s="15"/>
      <c r="C28" s="19"/>
      <c r="D28" s="19"/>
      <c r="E28" s="19"/>
      <c r="F28" s="18"/>
      <c r="G28" s="18"/>
      <c r="H28" s="18"/>
    </row>
    <row r="29" spans="1:8" x14ac:dyDescent="0.25">
      <c r="A29" s="3" t="s">
        <v>24</v>
      </c>
      <c r="B29" s="16"/>
      <c r="C29" s="19"/>
      <c r="D29" s="19"/>
      <c r="E29" s="19"/>
      <c r="F29" s="18"/>
      <c r="G29" s="18"/>
      <c r="H29" s="18"/>
    </row>
    <row r="30" spans="1:8" x14ac:dyDescent="0.25">
      <c r="A30" s="2" t="s">
        <v>39</v>
      </c>
      <c r="B30" s="19"/>
      <c r="C30" s="19"/>
      <c r="D30" s="19"/>
      <c r="E30" s="19"/>
      <c r="F30" s="18"/>
      <c r="G30" s="18"/>
      <c r="H30" s="18"/>
    </row>
    <row r="31" spans="1:8" x14ac:dyDescent="0.25">
      <c r="A31" s="2"/>
      <c r="B31" s="19"/>
      <c r="C31" s="19"/>
      <c r="D31" s="19"/>
      <c r="E31" s="19"/>
      <c r="F31" s="18"/>
      <c r="G31" s="18"/>
      <c r="H31" s="18"/>
    </row>
    <row r="32" spans="1:8" x14ac:dyDescent="0.25">
      <c r="A32" s="44"/>
      <c r="B32" s="19"/>
      <c r="C32" s="19"/>
      <c r="D32" s="19"/>
      <c r="E32" s="19"/>
      <c r="F32" s="18"/>
      <c r="G32" s="18"/>
      <c r="H32" s="18"/>
    </row>
    <row r="35" spans="1:8" ht="25.5" x14ac:dyDescent="0.25">
      <c r="A35" s="12" t="s">
        <v>93</v>
      </c>
      <c r="B35" s="7"/>
      <c r="C35" s="24" t="s">
        <v>36</v>
      </c>
      <c r="D35" s="24" t="s">
        <v>37</v>
      </c>
      <c r="E35" s="24" t="s">
        <v>38</v>
      </c>
      <c r="F35" s="245" t="s">
        <v>44</v>
      </c>
      <c r="G35" s="246"/>
      <c r="H35" s="247"/>
    </row>
    <row r="36" spans="1:8" x14ac:dyDescent="0.25">
      <c r="A36" s="8"/>
      <c r="B36" s="41" t="s">
        <v>92</v>
      </c>
      <c r="C36" s="19"/>
      <c r="D36" s="19"/>
      <c r="E36" s="19"/>
      <c r="F36" s="25" t="s">
        <v>40</v>
      </c>
      <c r="G36" s="25" t="s">
        <v>41</v>
      </c>
      <c r="H36" s="25" t="s">
        <v>42</v>
      </c>
    </row>
    <row r="37" spans="1:8" x14ac:dyDescent="0.25">
      <c r="A37" s="2" t="s">
        <v>33</v>
      </c>
      <c r="B37" s="13"/>
      <c r="C37" s="19"/>
      <c r="D37" s="17"/>
      <c r="E37" s="17"/>
      <c r="F37" s="18"/>
      <c r="G37" s="18"/>
      <c r="H37" s="18"/>
    </row>
    <row r="38" spans="1:8" x14ac:dyDescent="0.25">
      <c r="A38" s="2" t="s">
        <v>26</v>
      </c>
      <c r="B38" s="13"/>
      <c r="C38" s="19"/>
      <c r="D38" s="17"/>
      <c r="E38" s="17"/>
      <c r="F38" s="18"/>
      <c r="G38" s="18"/>
      <c r="H38" s="18"/>
    </row>
    <row r="39" spans="1:8" x14ac:dyDescent="0.25">
      <c r="A39" s="2" t="s">
        <v>27</v>
      </c>
      <c r="B39" s="14"/>
      <c r="C39" s="20"/>
      <c r="D39" s="18"/>
      <c r="E39" s="18"/>
      <c r="F39" s="18"/>
      <c r="G39" s="18"/>
      <c r="H39" s="18"/>
    </row>
    <row r="40" spans="1:8" x14ac:dyDescent="0.25">
      <c r="A40" s="2" t="s">
        <v>28</v>
      </c>
      <c r="B40" s="14"/>
      <c r="C40" s="20"/>
      <c r="D40" s="18"/>
      <c r="E40" s="18"/>
      <c r="F40" s="18"/>
      <c r="G40" s="18"/>
      <c r="H40" s="18"/>
    </row>
    <row r="41" spans="1:8" x14ac:dyDescent="0.25">
      <c r="A41" s="2" t="s">
        <v>29</v>
      </c>
      <c r="B41" s="14"/>
      <c r="C41" s="20"/>
      <c r="D41" s="18"/>
      <c r="E41" s="18"/>
      <c r="F41" s="18"/>
      <c r="G41" s="18"/>
      <c r="H41" s="18"/>
    </row>
    <row r="42" spans="1:8" x14ac:dyDescent="0.25">
      <c r="A42" s="2" t="s">
        <v>30</v>
      </c>
      <c r="C42" s="20"/>
      <c r="D42" s="18"/>
      <c r="E42" s="18"/>
      <c r="F42" s="18"/>
      <c r="G42" s="18"/>
      <c r="H42" s="18"/>
    </row>
    <row r="43" spans="1:8" x14ac:dyDescent="0.25">
      <c r="A43" s="3" t="s">
        <v>31</v>
      </c>
      <c r="B43" s="5"/>
      <c r="C43" s="20"/>
      <c r="D43" s="18"/>
      <c r="E43" s="18"/>
      <c r="F43" s="18"/>
      <c r="G43" s="18"/>
      <c r="H43" s="18"/>
    </row>
    <row r="44" spans="1:8" x14ac:dyDescent="0.25">
      <c r="A44" s="4" t="s">
        <v>32</v>
      </c>
      <c r="B44" s="5"/>
      <c r="C44" s="20"/>
      <c r="D44" s="18"/>
      <c r="E44" s="18"/>
      <c r="F44" s="18"/>
      <c r="G44" s="18"/>
      <c r="H44" s="18"/>
    </row>
  </sheetData>
  <mergeCells count="2">
    <mergeCell ref="F4:H4"/>
    <mergeCell ref="F35:H35"/>
  </mergeCells>
  <pageMargins left="0.7" right="0.7" top="0.47" bottom="0.75" header="0.3" footer="0.3"/>
  <pageSetup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1"/>
  <sheetViews>
    <sheetView workbookViewId="0">
      <selection activeCell="H16" sqref="H16"/>
    </sheetView>
  </sheetViews>
  <sheetFormatPr defaultRowHeight="15" x14ac:dyDescent="0.25"/>
  <cols>
    <col min="1" max="1" width="41.28515625" bestFit="1" customWidth="1"/>
  </cols>
  <sheetData>
    <row r="1" spans="1:6" x14ac:dyDescent="0.25">
      <c r="A1" s="248" t="s">
        <v>45</v>
      </c>
      <c r="B1" s="26" t="s">
        <v>46</v>
      </c>
      <c r="C1" s="26" t="s">
        <v>47</v>
      </c>
      <c r="D1" s="26" t="s">
        <v>48</v>
      </c>
      <c r="E1" s="26" t="s">
        <v>49</v>
      </c>
      <c r="F1" s="26" t="s">
        <v>50</v>
      </c>
    </row>
    <row r="2" spans="1:6" ht="15.75" thickBot="1" x14ac:dyDescent="0.3">
      <c r="A2" s="249"/>
      <c r="B2" s="27">
        <v>2014</v>
      </c>
      <c r="C2" s="27">
        <v>2015</v>
      </c>
      <c r="D2" s="27">
        <v>2016</v>
      </c>
      <c r="E2" s="27">
        <v>2017</v>
      </c>
      <c r="F2" s="27">
        <v>2018</v>
      </c>
    </row>
    <row r="3" spans="1:6" ht="15.75" thickBot="1" x14ac:dyDescent="0.3">
      <c r="A3" s="32" t="s">
        <v>51</v>
      </c>
      <c r="B3" s="33"/>
      <c r="C3" s="33"/>
      <c r="D3" s="33"/>
      <c r="E3" s="33"/>
      <c r="F3" s="33"/>
    </row>
    <row r="4" spans="1:6" ht="15.75" thickBot="1" x14ac:dyDescent="0.3">
      <c r="A4" s="32" t="s">
        <v>52</v>
      </c>
      <c r="B4" s="33"/>
      <c r="C4" s="33"/>
      <c r="D4" s="33"/>
      <c r="E4" s="33"/>
      <c r="F4" s="33"/>
    </row>
    <row r="5" spans="1:6" ht="15.75" thickBot="1" x14ac:dyDescent="0.3">
      <c r="A5" s="32" t="s">
        <v>53</v>
      </c>
      <c r="B5" s="33"/>
      <c r="C5" s="33"/>
      <c r="D5" s="33"/>
      <c r="E5" s="33"/>
      <c r="F5" s="33"/>
    </row>
    <row r="6" spans="1:6" ht="15.75" thickBot="1" x14ac:dyDescent="0.3">
      <c r="A6" s="32" t="s">
        <v>54</v>
      </c>
      <c r="B6" s="33"/>
      <c r="C6" s="33"/>
      <c r="D6" s="33"/>
      <c r="E6" s="33"/>
      <c r="F6" s="33"/>
    </row>
    <row r="7" spans="1:6" ht="15.75" thickBot="1" x14ac:dyDescent="0.3">
      <c r="A7" s="32" t="s">
        <v>55</v>
      </c>
      <c r="B7" s="33"/>
      <c r="C7" s="33"/>
      <c r="D7" s="33"/>
      <c r="E7" s="33"/>
      <c r="F7" s="33"/>
    </row>
    <row r="8" spans="1:6" ht="15.75" thickBot="1" x14ac:dyDescent="0.3">
      <c r="A8" s="32" t="s">
        <v>56</v>
      </c>
      <c r="B8" s="33"/>
      <c r="C8" s="33"/>
      <c r="D8" s="33"/>
      <c r="E8" s="33"/>
      <c r="F8" s="33"/>
    </row>
    <row r="9" spans="1:6" ht="15.75" thickBot="1" x14ac:dyDescent="0.3">
      <c r="A9" s="32" t="s">
        <v>57</v>
      </c>
      <c r="B9" s="33"/>
      <c r="C9" s="33"/>
      <c r="D9" s="33"/>
      <c r="E9" s="33"/>
      <c r="F9" s="33"/>
    </row>
    <row r="10" spans="1:6" ht="15.75" thickBot="1" x14ac:dyDescent="0.3">
      <c r="A10" s="28"/>
      <c r="B10" s="29"/>
      <c r="C10" s="29"/>
      <c r="D10" s="29"/>
      <c r="E10" s="29"/>
      <c r="F10" s="29"/>
    </row>
    <row r="11" spans="1:6" ht="15.75" thickBot="1" x14ac:dyDescent="0.3">
      <c r="A11" s="30" t="s">
        <v>58</v>
      </c>
      <c r="B11" s="27"/>
      <c r="C11" s="27"/>
      <c r="D11" s="27"/>
      <c r="E11" s="27"/>
      <c r="F11" s="27"/>
    </row>
    <row r="12" spans="1:6" ht="15.75" thickBot="1" x14ac:dyDescent="0.3">
      <c r="A12" s="32" t="s">
        <v>59</v>
      </c>
      <c r="B12" s="33"/>
      <c r="C12" s="33"/>
      <c r="D12" s="33"/>
      <c r="E12" s="33"/>
      <c r="F12" s="33"/>
    </row>
    <row r="13" spans="1:6" ht="15.75" thickBot="1" x14ac:dyDescent="0.3">
      <c r="A13" s="32" t="s">
        <v>60</v>
      </c>
      <c r="B13" s="33"/>
      <c r="C13" s="33"/>
      <c r="D13" s="33"/>
      <c r="E13" s="33"/>
      <c r="F13" s="33"/>
    </row>
    <row r="14" spans="1:6" ht="15.75" thickBot="1" x14ac:dyDescent="0.3">
      <c r="A14" s="32"/>
      <c r="B14" s="33"/>
      <c r="C14" s="33"/>
      <c r="D14" s="33"/>
      <c r="E14" s="33"/>
      <c r="F14" s="33"/>
    </row>
    <row r="15" spans="1:6" ht="15.75" thickBot="1" x14ac:dyDescent="0.3">
      <c r="A15" s="30" t="s">
        <v>61</v>
      </c>
      <c r="B15" s="27"/>
      <c r="C15" s="27"/>
      <c r="D15" s="27"/>
      <c r="E15" s="27"/>
      <c r="F15" s="27"/>
    </row>
    <row r="16" spans="1:6" ht="15.75" thickBot="1" x14ac:dyDescent="0.3">
      <c r="A16" s="32" t="s">
        <v>62</v>
      </c>
      <c r="B16" s="33"/>
      <c r="C16" s="33"/>
      <c r="D16" s="33"/>
      <c r="E16" s="33"/>
      <c r="F16" s="33"/>
    </row>
    <row r="17" spans="1:6" ht="15.75" thickBot="1" x14ac:dyDescent="0.3">
      <c r="A17" s="32" t="s">
        <v>63</v>
      </c>
      <c r="B17" s="33"/>
      <c r="C17" s="33"/>
      <c r="D17" s="33"/>
      <c r="E17" s="33"/>
      <c r="F17" s="33"/>
    </row>
    <row r="18" spans="1:6" ht="15.75" thickBot="1" x14ac:dyDescent="0.3">
      <c r="A18" s="32" t="s">
        <v>64</v>
      </c>
      <c r="B18" s="33"/>
      <c r="C18" s="33"/>
      <c r="D18" s="33"/>
      <c r="E18" s="33"/>
      <c r="F18" s="33"/>
    </row>
    <row r="19" spans="1:6" ht="15.75" thickBot="1" x14ac:dyDescent="0.3">
      <c r="A19" s="32" t="s">
        <v>65</v>
      </c>
      <c r="B19" s="33"/>
      <c r="C19" s="33"/>
      <c r="D19" s="33"/>
      <c r="E19" s="33"/>
      <c r="F19" s="33"/>
    </row>
    <row r="20" spans="1:6" ht="15.75" thickBot="1" x14ac:dyDescent="0.3">
      <c r="A20" s="32" t="s">
        <v>66</v>
      </c>
      <c r="B20" s="33"/>
      <c r="C20" s="33"/>
      <c r="D20" s="33"/>
      <c r="E20" s="33"/>
      <c r="F20" s="33"/>
    </row>
    <row r="21" spans="1:6" ht="15.75" thickBot="1" x14ac:dyDescent="0.3">
      <c r="A21" s="31" t="s">
        <v>67</v>
      </c>
      <c r="B21" s="27"/>
      <c r="C21" s="27"/>
      <c r="D21" s="27"/>
      <c r="E21" s="27"/>
      <c r="F21" s="27"/>
    </row>
  </sheetData>
  <mergeCells count="1">
    <mergeCell ref="A1:A2"/>
  </mergeCells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20"/>
  <sheetViews>
    <sheetView workbookViewId="0">
      <selection sqref="A1:F20"/>
    </sheetView>
  </sheetViews>
  <sheetFormatPr defaultRowHeight="15" x14ac:dyDescent="0.25"/>
  <cols>
    <col min="1" max="1" width="35.42578125" customWidth="1"/>
  </cols>
  <sheetData>
    <row r="1" spans="1:6" x14ac:dyDescent="0.25">
      <c r="A1" s="248" t="s">
        <v>45</v>
      </c>
      <c r="B1" s="26" t="s">
        <v>46</v>
      </c>
      <c r="C1" s="26" t="s">
        <v>47</v>
      </c>
      <c r="D1" s="26" t="s">
        <v>48</v>
      </c>
      <c r="E1" s="26" t="s">
        <v>49</v>
      </c>
      <c r="F1" s="26" t="s">
        <v>50</v>
      </c>
    </row>
    <row r="2" spans="1:6" ht="15.75" thickBot="1" x14ac:dyDescent="0.3">
      <c r="A2" s="249"/>
      <c r="B2" s="38">
        <v>2014</v>
      </c>
      <c r="C2" s="38">
        <v>2015</v>
      </c>
      <c r="D2" s="38">
        <v>2016</v>
      </c>
      <c r="E2" s="38">
        <v>2017</v>
      </c>
      <c r="F2" s="38">
        <v>2018</v>
      </c>
    </row>
    <row r="3" spans="1:6" ht="15.75" thickBot="1" x14ac:dyDescent="0.3">
      <c r="A3" s="39" t="s">
        <v>68</v>
      </c>
      <c r="B3" s="18"/>
      <c r="C3" s="18"/>
      <c r="D3" s="18"/>
      <c r="E3" s="18"/>
      <c r="F3" s="18"/>
    </row>
    <row r="4" spans="1:6" ht="15.75" thickBot="1" x14ac:dyDescent="0.3">
      <c r="A4" s="39" t="s">
        <v>69</v>
      </c>
      <c r="B4" s="18"/>
      <c r="C4" s="18"/>
      <c r="D4" s="18"/>
      <c r="E4" s="18"/>
      <c r="F4" s="18"/>
    </row>
    <row r="5" spans="1:6" ht="15.75" thickBot="1" x14ac:dyDescent="0.3">
      <c r="A5" s="39" t="s">
        <v>70</v>
      </c>
      <c r="B5" s="18"/>
      <c r="C5" s="18"/>
      <c r="D5" s="18"/>
      <c r="E5" s="18"/>
      <c r="F5" s="18"/>
    </row>
    <row r="6" spans="1:6" ht="15.75" thickBot="1" x14ac:dyDescent="0.3">
      <c r="A6" s="39" t="s">
        <v>71</v>
      </c>
      <c r="B6" s="18"/>
      <c r="C6" s="18"/>
      <c r="D6" s="18"/>
      <c r="E6" s="18"/>
      <c r="F6" s="18"/>
    </row>
    <row r="7" spans="1:6" ht="15.75" thickBot="1" x14ac:dyDescent="0.3">
      <c r="A7" s="39" t="s">
        <v>72</v>
      </c>
      <c r="B7" s="18"/>
      <c r="C7" s="18"/>
      <c r="D7" s="18"/>
      <c r="E7" s="18"/>
      <c r="F7" s="18"/>
    </row>
    <row r="8" spans="1:6" ht="15.75" thickBot="1" x14ac:dyDescent="0.3">
      <c r="A8" s="39" t="s">
        <v>73</v>
      </c>
      <c r="B8" s="18"/>
      <c r="C8" s="18"/>
      <c r="D8" s="18"/>
      <c r="E8" s="18"/>
      <c r="F8" s="18"/>
    </row>
    <row r="9" spans="1:6" ht="15.75" thickBot="1" x14ac:dyDescent="0.3">
      <c r="A9" s="35"/>
      <c r="B9" s="18"/>
      <c r="C9" s="18"/>
      <c r="D9" s="18"/>
      <c r="E9" s="18"/>
      <c r="F9" s="18"/>
    </row>
    <row r="10" spans="1:6" ht="15.75" thickBot="1" x14ac:dyDescent="0.3">
      <c r="A10" s="36" t="s">
        <v>58</v>
      </c>
      <c r="B10" s="18"/>
      <c r="C10" s="18"/>
      <c r="D10" s="18"/>
      <c r="E10" s="18"/>
      <c r="F10" s="18"/>
    </row>
    <row r="11" spans="1:6" ht="30.75" thickBot="1" x14ac:dyDescent="0.3">
      <c r="A11" s="42" t="s">
        <v>74</v>
      </c>
      <c r="B11" s="18"/>
      <c r="C11" s="18"/>
      <c r="D11" s="18"/>
      <c r="E11" s="18"/>
      <c r="F11" s="18"/>
    </row>
    <row r="12" spans="1:6" ht="15.75" thickBot="1" x14ac:dyDescent="0.3">
      <c r="A12" s="39" t="s">
        <v>75</v>
      </c>
      <c r="B12" s="18"/>
      <c r="C12" s="18"/>
      <c r="D12" s="18"/>
      <c r="E12" s="18"/>
      <c r="F12" s="18"/>
    </row>
    <row r="13" spans="1:6" ht="15.75" thickBot="1" x14ac:dyDescent="0.3">
      <c r="A13" s="34"/>
      <c r="B13" s="18"/>
      <c r="C13" s="18"/>
      <c r="D13" s="18"/>
      <c r="E13" s="18"/>
      <c r="F13" s="18"/>
    </row>
    <row r="14" spans="1:6" ht="15.75" thickBot="1" x14ac:dyDescent="0.3">
      <c r="A14" s="36" t="s">
        <v>61</v>
      </c>
      <c r="B14" s="18"/>
      <c r="C14" s="18"/>
      <c r="D14" s="18"/>
      <c r="E14" s="18"/>
      <c r="F14" s="18"/>
    </row>
    <row r="15" spans="1:6" ht="15.75" thickBot="1" x14ac:dyDescent="0.3">
      <c r="A15" s="39" t="s">
        <v>76</v>
      </c>
      <c r="B15" s="18"/>
      <c r="C15" s="18"/>
      <c r="D15" s="18"/>
      <c r="E15" s="18"/>
      <c r="F15" s="18"/>
    </row>
    <row r="16" spans="1:6" ht="15.75" thickBot="1" x14ac:dyDescent="0.3">
      <c r="A16" s="39" t="s">
        <v>77</v>
      </c>
      <c r="B16" s="18"/>
      <c r="C16" s="18"/>
      <c r="D16" s="18"/>
      <c r="E16" s="18"/>
      <c r="F16" s="18"/>
    </row>
    <row r="17" spans="1:6" ht="15.75" thickBot="1" x14ac:dyDescent="0.3">
      <c r="A17" s="39" t="s">
        <v>78</v>
      </c>
      <c r="B17" s="18"/>
      <c r="C17" s="18"/>
      <c r="D17" s="18"/>
      <c r="E17" s="18"/>
      <c r="F17" s="18"/>
    </row>
    <row r="18" spans="1:6" ht="15.75" thickBot="1" x14ac:dyDescent="0.3">
      <c r="A18" s="39" t="s">
        <v>79</v>
      </c>
      <c r="B18" s="18"/>
      <c r="C18" s="18"/>
      <c r="D18" s="18"/>
      <c r="E18" s="18"/>
      <c r="F18" s="18"/>
    </row>
    <row r="19" spans="1:6" ht="30.75" thickBot="1" x14ac:dyDescent="0.3">
      <c r="A19" s="42" t="s">
        <v>80</v>
      </c>
      <c r="B19" s="18"/>
      <c r="C19" s="18"/>
      <c r="D19" s="18"/>
      <c r="E19" s="18"/>
      <c r="F19" s="18"/>
    </row>
    <row r="20" spans="1:6" ht="15.75" thickBot="1" x14ac:dyDescent="0.3">
      <c r="A20" s="37" t="s">
        <v>67</v>
      </c>
      <c r="B20" s="18"/>
      <c r="C20" s="18"/>
      <c r="D20" s="18"/>
      <c r="E20" s="18"/>
      <c r="F20" s="18"/>
    </row>
  </sheetData>
  <mergeCells count="1">
    <mergeCell ref="A1:A2"/>
  </mergeCells>
  <pageMargins left="0.7" right="0.7" top="0.75" bottom="0.75" header="0.3" footer="0.3"/>
  <pageSetup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20"/>
  <sheetViews>
    <sheetView workbookViewId="0">
      <selection activeCell="A12" sqref="A12"/>
    </sheetView>
  </sheetViews>
  <sheetFormatPr defaultRowHeight="15" x14ac:dyDescent="0.25"/>
  <cols>
    <col min="1" max="1" width="48.28515625" bestFit="1" customWidth="1"/>
  </cols>
  <sheetData>
    <row r="1" spans="1:6" x14ac:dyDescent="0.25">
      <c r="A1" s="248" t="s">
        <v>45</v>
      </c>
      <c r="B1" s="26" t="s">
        <v>46</v>
      </c>
      <c r="C1" s="26" t="s">
        <v>47</v>
      </c>
      <c r="D1" s="26" t="s">
        <v>48</v>
      </c>
      <c r="E1" s="26" t="s">
        <v>49</v>
      </c>
      <c r="F1" s="26" t="s">
        <v>50</v>
      </c>
    </row>
    <row r="2" spans="1:6" ht="15.75" thickBot="1" x14ac:dyDescent="0.3">
      <c r="A2" s="249"/>
      <c r="B2" s="38">
        <v>2014</v>
      </c>
      <c r="C2" s="38">
        <v>2015</v>
      </c>
      <c r="D2" s="38">
        <v>2016</v>
      </c>
      <c r="E2" s="38">
        <v>2017</v>
      </c>
      <c r="F2" s="38">
        <v>2018</v>
      </c>
    </row>
    <row r="3" spans="1:6" ht="15.75" thickBot="1" x14ac:dyDescent="0.3">
      <c r="A3" s="39" t="s">
        <v>81</v>
      </c>
      <c r="B3" s="18"/>
      <c r="C3" s="18"/>
      <c r="D3" s="18"/>
      <c r="E3" s="18"/>
      <c r="F3" s="18"/>
    </row>
    <row r="4" spans="1:6" ht="15.75" thickBot="1" x14ac:dyDescent="0.3">
      <c r="A4" s="39" t="s">
        <v>82</v>
      </c>
      <c r="B4" s="18"/>
      <c r="C4" s="18"/>
      <c r="D4" s="18"/>
      <c r="E4" s="18"/>
      <c r="F4" s="18"/>
    </row>
    <row r="5" spans="1:6" ht="15.75" thickBot="1" x14ac:dyDescent="0.3">
      <c r="A5" s="39" t="s">
        <v>83</v>
      </c>
      <c r="B5" s="18"/>
      <c r="C5" s="18"/>
      <c r="D5" s="18"/>
      <c r="E5" s="18"/>
      <c r="F5" s="18"/>
    </row>
    <row r="6" spans="1:6" ht="15.75" thickBot="1" x14ac:dyDescent="0.3">
      <c r="A6" s="39" t="s">
        <v>84</v>
      </c>
      <c r="B6" s="18"/>
      <c r="C6" s="18"/>
      <c r="D6" s="18"/>
      <c r="E6" s="18"/>
      <c r="F6" s="18"/>
    </row>
    <row r="7" spans="1:6" ht="15.75" thickBot="1" x14ac:dyDescent="0.3">
      <c r="A7" s="39" t="s">
        <v>85</v>
      </c>
      <c r="B7" s="18"/>
      <c r="C7" s="18"/>
      <c r="D7" s="18"/>
      <c r="E7" s="18"/>
      <c r="F7" s="18"/>
    </row>
    <row r="8" spans="1:6" ht="15.75" thickBot="1" x14ac:dyDescent="0.3">
      <c r="A8" s="39" t="s">
        <v>86</v>
      </c>
      <c r="B8" s="18"/>
      <c r="C8" s="18"/>
      <c r="D8" s="18"/>
      <c r="E8" s="18"/>
      <c r="F8" s="18"/>
    </row>
    <row r="9" spans="1:6" ht="15.75" thickBot="1" x14ac:dyDescent="0.3">
      <c r="A9" s="35"/>
      <c r="B9" s="18"/>
      <c r="C9" s="18"/>
      <c r="D9" s="18"/>
      <c r="E9" s="18"/>
      <c r="F9" s="18"/>
    </row>
    <row r="10" spans="1:6" ht="15.75" thickBot="1" x14ac:dyDescent="0.3">
      <c r="A10" s="36" t="s">
        <v>58</v>
      </c>
      <c r="B10" s="18"/>
      <c r="C10" s="18"/>
      <c r="D10" s="18"/>
      <c r="E10" s="18"/>
      <c r="F10" s="18"/>
    </row>
    <row r="11" spans="1:6" ht="15.75" thickBot="1" x14ac:dyDescent="0.3">
      <c r="A11" s="39" t="s">
        <v>87</v>
      </c>
      <c r="B11" s="18"/>
      <c r="C11" s="18"/>
      <c r="D11" s="18"/>
      <c r="E11" s="18"/>
      <c r="F11" s="18"/>
    </row>
    <row r="12" spans="1:6" ht="15.75" thickBot="1" x14ac:dyDescent="0.3">
      <c r="A12" s="39" t="s">
        <v>88</v>
      </c>
      <c r="B12" s="18"/>
      <c r="C12" s="18"/>
      <c r="D12" s="18"/>
      <c r="E12" s="18"/>
      <c r="F12" s="18"/>
    </row>
    <row r="13" spans="1:6" ht="15.75" thickBot="1" x14ac:dyDescent="0.3">
      <c r="A13" s="34"/>
      <c r="B13" s="18"/>
      <c r="C13" s="18"/>
      <c r="D13" s="18"/>
      <c r="E13" s="18"/>
      <c r="F13" s="18"/>
    </row>
    <row r="14" spans="1:6" ht="15.75" thickBot="1" x14ac:dyDescent="0.3">
      <c r="A14" s="36" t="s">
        <v>61</v>
      </c>
      <c r="B14" s="18"/>
      <c r="C14" s="18"/>
      <c r="D14" s="18"/>
      <c r="E14" s="18"/>
      <c r="F14" s="18"/>
    </row>
    <row r="15" spans="1:6" ht="15.75" thickBot="1" x14ac:dyDescent="0.3">
      <c r="A15" s="39" t="s">
        <v>76</v>
      </c>
      <c r="B15" s="18"/>
      <c r="C15" s="18"/>
      <c r="D15" s="18"/>
      <c r="E15" s="18"/>
      <c r="F15" s="18"/>
    </row>
    <row r="16" spans="1:6" ht="15.75" thickBot="1" x14ac:dyDescent="0.3">
      <c r="A16" s="39" t="s">
        <v>89</v>
      </c>
      <c r="B16" s="18"/>
      <c r="C16" s="18"/>
      <c r="D16" s="18"/>
      <c r="E16" s="18"/>
      <c r="F16" s="18"/>
    </row>
    <row r="17" spans="1:6" ht="15.75" thickBot="1" x14ac:dyDescent="0.3">
      <c r="A17" s="39" t="s">
        <v>90</v>
      </c>
      <c r="B17" s="18"/>
      <c r="C17" s="18"/>
      <c r="D17" s="18"/>
      <c r="E17" s="18"/>
      <c r="F17" s="18"/>
    </row>
    <row r="18" spans="1:6" ht="15.75" thickBot="1" x14ac:dyDescent="0.3">
      <c r="A18" s="39" t="s">
        <v>91</v>
      </c>
      <c r="B18" s="18"/>
      <c r="C18" s="18"/>
      <c r="D18" s="18"/>
      <c r="E18" s="18"/>
      <c r="F18" s="18"/>
    </row>
    <row r="19" spans="1:6" ht="15.75" thickBot="1" x14ac:dyDescent="0.3">
      <c r="A19" s="39" t="s">
        <v>80</v>
      </c>
      <c r="B19" s="18"/>
      <c r="C19" s="18"/>
      <c r="D19" s="18"/>
      <c r="E19" s="18"/>
      <c r="F19" s="18"/>
    </row>
    <row r="20" spans="1:6" ht="15.75" thickBot="1" x14ac:dyDescent="0.3">
      <c r="A20" s="37" t="s">
        <v>67</v>
      </c>
      <c r="B20" s="18"/>
      <c r="C20" s="18"/>
      <c r="D20" s="18"/>
      <c r="E20" s="18"/>
      <c r="F20" s="18"/>
    </row>
  </sheetData>
  <mergeCells count="1">
    <mergeCell ref="A1:A2"/>
  </mergeCells>
  <pageMargins left="0.47" right="0.17" top="0.75" bottom="0.75" header="0.3" footer="0.3"/>
  <pageSetup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3"/>
  <sheetViews>
    <sheetView workbookViewId="0">
      <selection sqref="A1:A2"/>
    </sheetView>
  </sheetViews>
  <sheetFormatPr defaultRowHeight="15" x14ac:dyDescent="0.25"/>
  <cols>
    <col min="1" max="1" width="39.5703125" bestFit="1" customWidth="1"/>
  </cols>
  <sheetData>
    <row r="1" spans="1:6" x14ac:dyDescent="0.25">
      <c r="A1" s="248" t="s">
        <v>45</v>
      </c>
      <c r="B1" s="26" t="s">
        <v>46</v>
      </c>
      <c r="C1" s="26" t="s">
        <v>47</v>
      </c>
      <c r="D1" s="26" t="s">
        <v>48</v>
      </c>
      <c r="E1" s="26" t="s">
        <v>49</v>
      </c>
      <c r="F1" s="26" t="s">
        <v>50</v>
      </c>
    </row>
    <row r="2" spans="1:6" ht="15.75" thickBot="1" x14ac:dyDescent="0.3">
      <c r="A2" s="249"/>
      <c r="B2" s="38">
        <v>2014</v>
      </c>
      <c r="C2" s="38">
        <v>2015</v>
      </c>
      <c r="D2" s="38">
        <v>2016</v>
      </c>
      <c r="E2" s="38">
        <v>2017</v>
      </c>
      <c r="F2" s="38">
        <v>2018</v>
      </c>
    </row>
    <row r="3" spans="1:6" ht="15.75" thickBot="1" x14ac:dyDescent="0.3">
      <c r="A3" s="39" t="s">
        <v>94</v>
      </c>
      <c r="B3" s="18"/>
      <c r="C3" s="18"/>
      <c r="D3" s="18"/>
      <c r="E3" s="18"/>
      <c r="F3" s="18"/>
    </row>
    <row r="4" spans="1:6" ht="15.75" thickBot="1" x14ac:dyDescent="0.3">
      <c r="A4" s="39" t="s">
        <v>95</v>
      </c>
      <c r="B4" s="18"/>
      <c r="C4" s="18"/>
      <c r="D4" s="18"/>
      <c r="E4" s="18"/>
      <c r="F4" s="18"/>
    </row>
    <row r="5" spans="1:6" ht="15.75" thickBot="1" x14ac:dyDescent="0.3">
      <c r="A5" s="39" t="s">
        <v>96</v>
      </c>
      <c r="B5" s="18"/>
      <c r="C5" s="18"/>
      <c r="D5" s="18"/>
      <c r="E5" s="18"/>
      <c r="F5" s="18"/>
    </row>
    <row r="6" spans="1:6" ht="15.75" thickBot="1" x14ac:dyDescent="0.3">
      <c r="A6" s="39" t="s">
        <v>97</v>
      </c>
      <c r="B6" s="18"/>
      <c r="C6" s="18"/>
      <c r="D6" s="18"/>
      <c r="E6" s="18"/>
      <c r="F6" s="18"/>
    </row>
    <row r="7" spans="1:6" ht="15.75" thickBot="1" x14ac:dyDescent="0.3">
      <c r="A7" s="39" t="s">
        <v>98</v>
      </c>
      <c r="B7" s="18"/>
      <c r="C7" s="18"/>
      <c r="D7" s="18"/>
      <c r="E7" s="18"/>
      <c r="F7" s="18"/>
    </row>
    <row r="8" spans="1:6" ht="15.75" thickBot="1" x14ac:dyDescent="0.3">
      <c r="A8" s="39" t="s">
        <v>99</v>
      </c>
      <c r="B8" s="18"/>
      <c r="C8" s="18"/>
      <c r="D8" s="18"/>
      <c r="E8" s="18"/>
      <c r="F8" s="18"/>
    </row>
    <row r="9" spans="1:6" ht="15.75" thickBot="1" x14ac:dyDescent="0.3">
      <c r="A9" s="35"/>
      <c r="B9" s="18"/>
      <c r="C9" s="18"/>
      <c r="D9" s="18"/>
      <c r="E9" s="18"/>
      <c r="F9" s="18"/>
    </row>
    <row r="10" spans="1:6" ht="15.75" thickBot="1" x14ac:dyDescent="0.3">
      <c r="A10" s="36" t="s">
        <v>61</v>
      </c>
      <c r="B10" s="18"/>
      <c r="C10" s="18"/>
      <c r="D10" s="18"/>
      <c r="E10" s="18"/>
      <c r="F10" s="18"/>
    </row>
    <row r="11" spans="1:6" ht="15.75" thickBot="1" x14ac:dyDescent="0.3">
      <c r="A11" s="39" t="s">
        <v>100</v>
      </c>
      <c r="B11" s="18"/>
      <c r="C11" s="18"/>
      <c r="D11" s="18"/>
      <c r="E11" s="18"/>
      <c r="F11" s="18"/>
    </row>
    <row r="12" spans="1:6" ht="15.75" thickBot="1" x14ac:dyDescent="0.3">
      <c r="A12" s="39" t="s">
        <v>101</v>
      </c>
      <c r="B12" s="18"/>
      <c r="C12" s="18"/>
      <c r="D12" s="18"/>
      <c r="E12" s="18"/>
      <c r="F12" s="18"/>
    </row>
    <row r="13" spans="1:6" ht="15.75" thickBot="1" x14ac:dyDescent="0.3">
      <c r="A13" s="37" t="s">
        <v>67</v>
      </c>
      <c r="B13" s="18"/>
      <c r="C13" s="18"/>
      <c r="D13" s="18"/>
      <c r="E13" s="18"/>
      <c r="F13" s="18"/>
    </row>
  </sheetData>
  <mergeCells count="1">
    <mergeCell ref="A1:A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L56"/>
  <sheetViews>
    <sheetView tabSelected="1" zoomScale="83" zoomScaleNormal="83" workbookViewId="0">
      <pane ySplit="6630" topLeftCell="A38"/>
      <selection activeCell="D9" sqref="D9"/>
      <selection pane="bottomLeft" activeCell="A38" sqref="A38"/>
    </sheetView>
  </sheetViews>
  <sheetFormatPr defaultRowHeight="15" x14ac:dyDescent="0.25"/>
  <cols>
    <col min="1" max="1" width="41.28515625" bestFit="1" customWidth="1"/>
    <col min="2" max="2" width="11.28515625" customWidth="1"/>
    <col min="3" max="6" width="15.7109375" customWidth="1"/>
    <col min="7" max="7" width="13.7109375" customWidth="1"/>
    <col min="8" max="8" width="15.7109375" customWidth="1"/>
    <col min="9" max="9" width="10.5703125" customWidth="1"/>
  </cols>
  <sheetData>
    <row r="1" spans="1:12" ht="31.5" x14ac:dyDescent="0.5">
      <c r="A1" s="117" t="s">
        <v>273</v>
      </c>
      <c r="B1" s="118"/>
      <c r="C1" s="118"/>
      <c r="D1" s="118"/>
      <c r="E1" s="118"/>
      <c r="F1" s="118"/>
      <c r="G1" s="118"/>
    </row>
    <row r="2" spans="1:12" ht="15.75" thickBot="1" x14ac:dyDescent="0.3">
      <c r="A2" s="119"/>
    </row>
    <row r="3" spans="1:12" x14ac:dyDescent="0.25">
      <c r="A3" s="250" t="s">
        <v>45</v>
      </c>
      <c r="B3" s="47"/>
      <c r="C3" s="26" t="s">
        <v>353</v>
      </c>
      <c r="D3" s="26" t="s">
        <v>354</v>
      </c>
      <c r="E3" s="26" t="s">
        <v>355</v>
      </c>
      <c r="F3" s="26" t="s">
        <v>356</v>
      </c>
      <c r="G3" s="26" t="s">
        <v>357</v>
      </c>
    </row>
    <row r="4" spans="1:12" ht="15.75" thickBot="1" x14ac:dyDescent="0.3">
      <c r="A4" s="251"/>
      <c r="B4" s="48"/>
      <c r="C4" s="240"/>
      <c r="D4" s="240"/>
      <c r="E4" s="240"/>
      <c r="F4" s="240"/>
      <c r="G4" s="240"/>
    </row>
    <row r="5" spans="1:12" ht="15.75" thickBot="1" x14ac:dyDescent="0.3">
      <c r="A5" s="124" t="s">
        <v>51</v>
      </c>
      <c r="B5" s="49"/>
      <c r="C5" s="58">
        <v>1</v>
      </c>
      <c r="D5" s="58">
        <v>1</v>
      </c>
      <c r="E5" s="58">
        <v>1</v>
      </c>
      <c r="F5" s="58">
        <v>1</v>
      </c>
      <c r="G5" s="58">
        <v>1</v>
      </c>
    </row>
    <row r="6" spans="1:12" ht="15.75" thickBot="1" x14ac:dyDescent="0.3">
      <c r="A6" s="120" t="s">
        <v>199</v>
      </c>
      <c r="B6" s="50"/>
      <c r="C6" s="58">
        <v>1.3</v>
      </c>
      <c r="D6" s="58">
        <v>1.5</v>
      </c>
      <c r="E6" s="58">
        <v>1.7</v>
      </c>
      <c r="F6" s="58">
        <v>1.9</v>
      </c>
      <c r="G6" s="58">
        <v>2.1</v>
      </c>
      <c r="H6" t="s">
        <v>310</v>
      </c>
    </row>
    <row r="7" spans="1:12" ht="15.75" thickBot="1" x14ac:dyDescent="0.3">
      <c r="A7" s="120" t="s">
        <v>102</v>
      </c>
      <c r="B7" s="50"/>
      <c r="C7" s="58">
        <v>8.5</v>
      </c>
      <c r="D7" s="58">
        <v>8.5</v>
      </c>
      <c r="E7" s="58">
        <v>8.5</v>
      </c>
      <c r="F7" s="58">
        <v>8.5</v>
      </c>
      <c r="G7" s="58">
        <v>8.5</v>
      </c>
      <c r="H7" t="s">
        <v>311</v>
      </c>
    </row>
    <row r="8" spans="1:12" ht="15.75" thickBot="1" x14ac:dyDescent="0.3">
      <c r="A8" s="120" t="s">
        <v>103</v>
      </c>
      <c r="B8" s="50"/>
      <c r="C8" s="59">
        <v>0.4</v>
      </c>
      <c r="D8" s="59">
        <v>0.3</v>
      </c>
      <c r="E8" s="59">
        <v>0.2</v>
      </c>
      <c r="F8" s="59">
        <v>0.15</v>
      </c>
      <c r="G8" s="59">
        <v>0.1</v>
      </c>
      <c r="H8" t="s">
        <v>312</v>
      </c>
    </row>
    <row r="9" spans="1:12" ht="15.75" thickBot="1" x14ac:dyDescent="0.3">
      <c r="A9" s="120" t="s">
        <v>104</v>
      </c>
      <c r="B9" s="57"/>
      <c r="C9" s="244">
        <f>C6*C7-(C6*C7*C8)</f>
        <v>6.63</v>
      </c>
      <c r="D9" s="244">
        <f t="shared" ref="D9:G9" si="0">D6*D7-(D6*D7*D8)</f>
        <v>8.9250000000000007</v>
      </c>
      <c r="E9" s="244">
        <f t="shared" si="0"/>
        <v>11.559999999999999</v>
      </c>
      <c r="F9" s="244">
        <f t="shared" si="0"/>
        <v>13.727499999999999</v>
      </c>
      <c r="G9" s="244">
        <f t="shared" si="0"/>
        <v>16.065000000000001</v>
      </c>
    </row>
    <row r="10" spans="1:12" ht="15.75" thickBot="1" x14ac:dyDescent="0.3">
      <c r="A10" s="120"/>
      <c r="B10" s="57"/>
      <c r="C10" s="55"/>
      <c r="D10" s="55"/>
      <c r="E10" s="55"/>
      <c r="F10" s="55"/>
      <c r="G10" s="55"/>
    </row>
    <row r="11" spans="1:12" ht="15.75" thickBot="1" x14ac:dyDescent="0.3">
      <c r="A11" s="121" t="s">
        <v>58</v>
      </c>
      <c r="B11" s="49"/>
      <c r="C11" s="33"/>
      <c r="D11" s="33"/>
      <c r="E11" s="33"/>
      <c r="F11" s="33"/>
      <c r="G11" s="33"/>
    </row>
    <row r="12" spans="1:12" ht="15.75" thickBot="1" x14ac:dyDescent="0.3">
      <c r="A12" s="120" t="s">
        <v>105</v>
      </c>
      <c r="B12" s="50"/>
      <c r="C12" s="46">
        <f>+C5*C9</f>
        <v>6.63</v>
      </c>
      <c r="D12" s="46">
        <f t="shared" ref="D12:G12" si="1">+D5*D9</f>
        <v>8.9250000000000007</v>
      </c>
      <c r="E12" s="46">
        <f t="shared" si="1"/>
        <v>11.559999999999999</v>
      </c>
      <c r="F12" s="46">
        <f t="shared" si="1"/>
        <v>13.727499999999999</v>
      </c>
      <c r="G12" s="46">
        <f t="shared" si="1"/>
        <v>16.065000000000001</v>
      </c>
    </row>
    <row r="13" spans="1:12" ht="15.75" thickBot="1" x14ac:dyDescent="0.3">
      <c r="A13" s="120" t="s">
        <v>106</v>
      </c>
      <c r="B13" s="60">
        <v>0.05</v>
      </c>
      <c r="C13" s="46">
        <f>+C12*$B13</f>
        <v>0.33150000000000002</v>
      </c>
      <c r="D13" s="46">
        <f t="shared" ref="D13:G13" si="2">+D12*$B13</f>
        <v>0.44625000000000004</v>
      </c>
      <c r="E13" s="46">
        <f t="shared" si="2"/>
        <v>0.57799999999999996</v>
      </c>
      <c r="F13" s="46">
        <f t="shared" si="2"/>
        <v>0.68637499999999996</v>
      </c>
      <c r="G13" s="46">
        <f t="shared" si="2"/>
        <v>0.80325000000000013</v>
      </c>
      <c r="H13" t="s">
        <v>313</v>
      </c>
    </row>
    <row r="14" spans="1:12" ht="15.75" thickBot="1" x14ac:dyDescent="0.3">
      <c r="A14" s="122" t="s">
        <v>108</v>
      </c>
      <c r="B14" s="61">
        <v>0.3</v>
      </c>
      <c r="C14" s="80">
        <f>+C5*$B14+(D5-C5)</f>
        <v>0.3</v>
      </c>
      <c r="D14" s="80">
        <f t="shared" ref="D14:F14" si="3">+D5*$B14+(E5-D5)</f>
        <v>0.3</v>
      </c>
      <c r="E14" s="80">
        <f t="shared" si="3"/>
        <v>0.3</v>
      </c>
      <c r="F14" s="80">
        <f t="shared" si="3"/>
        <v>0.3</v>
      </c>
      <c r="G14" s="80">
        <f>+G5*$B14</f>
        <v>0.3</v>
      </c>
      <c r="H14" t="s">
        <v>314</v>
      </c>
      <c r="L14" s="45"/>
    </row>
    <row r="15" spans="1:12" ht="15.75" thickBot="1" x14ac:dyDescent="0.3">
      <c r="A15" s="120" t="s">
        <v>107</v>
      </c>
      <c r="B15" s="49"/>
      <c r="C15" s="46">
        <f>+C12-C13-C14</f>
        <v>5.9984999999999999</v>
      </c>
      <c r="D15" s="46">
        <f t="shared" ref="D15:G15" si="4">+D12-D13-D14</f>
        <v>8.1787500000000009</v>
      </c>
      <c r="E15" s="46">
        <f t="shared" si="4"/>
        <v>10.681999999999999</v>
      </c>
      <c r="F15" s="46">
        <f t="shared" si="4"/>
        <v>12.741124999999998</v>
      </c>
      <c r="G15" s="46">
        <f t="shared" si="4"/>
        <v>14.96175</v>
      </c>
    </row>
    <row r="16" spans="1:12" ht="15.75" thickBot="1" x14ac:dyDescent="0.3">
      <c r="A16" s="123"/>
      <c r="B16" s="51"/>
      <c r="C16" s="29"/>
      <c r="D16" s="29"/>
      <c r="E16" s="29"/>
      <c r="F16" s="29"/>
      <c r="G16" s="29"/>
    </row>
    <row r="17" spans="1:8" ht="15.75" thickBot="1" x14ac:dyDescent="0.3">
      <c r="A17" s="124"/>
      <c r="B17" s="49"/>
      <c r="C17" s="33"/>
      <c r="D17" s="33"/>
      <c r="E17" s="33"/>
      <c r="F17" s="33"/>
      <c r="G17" s="33"/>
    </row>
    <row r="18" spans="1:8" ht="15.75" thickBot="1" x14ac:dyDescent="0.3">
      <c r="A18" s="125" t="s">
        <v>61</v>
      </c>
      <c r="B18" s="52"/>
      <c r="C18" s="40"/>
      <c r="D18" s="40"/>
      <c r="E18" s="40"/>
      <c r="F18" s="40"/>
      <c r="G18" s="40"/>
    </row>
    <row r="19" spans="1:8" ht="15.75" thickBot="1" x14ac:dyDescent="0.3">
      <c r="A19" s="120" t="s">
        <v>315</v>
      </c>
      <c r="B19" s="60">
        <v>0.6</v>
      </c>
      <c r="C19" s="46">
        <f>+C$15*$B19</f>
        <v>3.5991</v>
      </c>
      <c r="D19" s="46">
        <f t="shared" ref="D19:G21" si="5">+D$15*$B19</f>
        <v>4.9072500000000003</v>
      </c>
      <c r="E19" s="46">
        <f t="shared" si="5"/>
        <v>6.4091999999999993</v>
      </c>
      <c r="F19" s="46">
        <f t="shared" si="5"/>
        <v>7.6446749999999986</v>
      </c>
      <c r="G19" s="46">
        <f t="shared" si="5"/>
        <v>8.9770500000000002</v>
      </c>
    </row>
    <row r="20" spans="1:8" ht="15.75" thickBot="1" x14ac:dyDescent="0.3">
      <c r="A20" s="124" t="s">
        <v>63</v>
      </c>
      <c r="B20" s="60">
        <v>0.3</v>
      </c>
      <c r="C20" s="46">
        <f>+C$15*$B20</f>
        <v>1.79955</v>
      </c>
      <c r="D20" s="46">
        <f t="shared" si="5"/>
        <v>2.4536250000000002</v>
      </c>
      <c r="E20" s="46">
        <f t="shared" si="5"/>
        <v>3.2045999999999997</v>
      </c>
      <c r="F20" s="46">
        <f t="shared" si="5"/>
        <v>3.8223374999999993</v>
      </c>
      <c r="G20" s="46">
        <f t="shared" si="5"/>
        <v>4.4885250000000001</v>
      </c>
    </row>
    <row r="21" spans="1:8" ht="15.75" thickBot="1" x14ac:dyDescent="0.3">
      <c r="A21" s="124" t="s">
        <v>66</v>
      </c>
      <c r="B21" s="60">
        <v>0.1</v>
      </c>
      <c r="C21" s="46">
        <f>+C$15*$B21</f>
        <v>0.59984999999999999</v>
      </c>
      <c r="D21" s="46">
        <f t="shared" si="5"/>
        <v>0.81787500000000013</v>
      </c>
      <c r="E21" s="46">
        <f t="shared" si="5"/>
        <v>1.0681999999999998</v>
      </c>
      <c r="F21" s="46">
        <f t="shared" si="5"/>
        <v>1.2741125</v>
      </c>
      <c r="G21" s="46">
        <f t="shared" si="5"/>
        <v>1.496175</v>
      </c>
    </row>
    <row r="22" spans="1:8" ht="15.75" thickBot="1" x14ac:dyDescent="0.3">
      <c r="A22" s="120" t="s">
        <v>109</v>
      </c>
      <c r="B22" s="49"/>
      <c r="C22" s="46">
        <f>+C14/2</f>
        <v>0.15</v>
      </c>
      <c r="D22" s="46">
        <f t="shared" ref="D22:G22" si="6">+D14/2</f>
        <v>0.15</v>
      </c>
      <c r="E22" s="46">
        <f t="shared" si="6"/>
        <v>0.15</v>
      </c>
      <c r="F22" s="46">
        <f t="shared" si="6"/>
        <v>0.15</v>
      </c>
      <c r="G22" s="46">
        <f t="shared" si="6"/>
        <v>0.15</v>
      </c>
    </row>
    <row r="23" spans="1:8" x14ac:dyDescent="0.25">
      <c r="A23" s="206"/>
      <c r="B23" s="207"/>
      <c r="C23" s="208"/>
      <c r="D23" s="208"/>
      <c r="E23" s="208"/>
      <c r="F23" s="208"/>
      <c r="G23" s="208"/>
    </row>
    <row r="24" spans="1:8" x14ac:dyDescent="0.25">
      <c r="A24" s="206"/>
      <c r="B24" s="207"/>
      <c r="C24" s="208"/>
      <c r="D24" s="208"/>
      <c r="E24" s="208"/>
      <c r="F24" s="208"/>
      <c r="G24" s="208"/>
    </row>
    <row r="25" spans="1:8" ht="15.75" thickBot="1" x14ac:dyDescent="0.3">
      <c r="A25" s="199" t="s">
        <v>303</v>
      </c>
    </row>
    <row r="26" spans="1:8" ht="15.75" thickBot="1" x14ac:dyDescent="0.3">
      <c r="A26" s="196"/>
      <c r="B26" s="200" t="s">
        <v>304</v>
      </c>
      <c r="C26" s="200" t="s">
        <v>305</v>
      </c>
      <c r="D26" s="200" t="s">
        <v>168</v>
      </c>
    </row>
    <row r="27" spans="1:8" ht="15.75" thickBot="1" x14ac:dyDescent="0.3">
      <c r="A27" s="196" t="s">
        <v>300</v>
      </c>
      <c r="B27" s="233">
        <v>60</v>
      </c>
      <c r="C27" s="234">
        <v>7</v>
      </c>
      <c r="D27" s="198">
        <f>+B27*C27</f>
        <v>420</v>
      </c>
      <c r="H27" t="s">
        <v>308</v>
      </c>
    </row>
    <row r="28" spans="1:8" ht="15.75" thickBot="1" x14ac:dyDescent="0.3">
      <c r="A28" s="196" t="s">
        <v>301</v>
      </c>
      <c r="B28" s="235">
        <v>0.75</v>
      </c>
      <c r="C28" s="234"/>
      <c r="D28" s="198"/>
      <c r="H28" t="s">
        <v>309</v>
      </c>
    </row>
    <row r="29" spans="1:8" ht="15.75" thickBot="1" x14ac:dyDescent="0.3">
      <c r="A29" s="196" t="s">
        <v>302</v>
      </c>
      <c r="B29" s="233">
        <f>+B27*B28</f>
        <v>45</v>
      </c>
      <c r="C29" s="234">
        <v>8</v>
      </c>
      <c r="D29" s="198">
        <f>+B29*C29</f>
        <v>360</v>
      </c>
    </row>
    <row r="30" spans="1:8" x14ac:dyDescent="0.25">
      <c r="A30" s="119"/>
    </row>
    <row r="31" spans="1:8" ht="15.75" thickBot="1" x14ac:dyDescent="0.3">
      <c r="A31" s="119"/>
    </row>
    <row r="32" spans="1:8" ht="15.75" thickBot="1" x14ac:dyDescent="0.3">
      <c r="A32" s="126" t="s">
        <v>110</v>
      </c>
      <c r="B32" s="54"/>
      <c r="C32" s="54"/>
      <c r="D32" s="54"/>
      <c r="E32" s="54"/>
      <c r="F32" s="54"/>
      <c r="G32" s="54"/>
    </row>
    <row r="33" spans="1:8" ht="15.75" thickBot="1" x14ac:dyDescent="0.3">
      <c r="A33" s="127" t="s">
        <v>111</v>
      </c>
      <c r="B33" s="62">
        <v>200</v>
      </c>
      <c r="C33" s="56">
        <f>+C19*$B33</f>
        <v>719.81999999999994</v>
      </c>
      <c r="D33" s="56">
        <f t="shared" ref="D33:G33" si="7">+D19*$B33</f>
        <v>981.45</v>
      </c>
      <c r="E33" s="56">
        <f t="shared" si="7"/>
        <v>1281.8399999999999</v>
      </c>
      <c r="F33" s="56">
        <f t="shared" si="7"/>
        <v>1528.9349999999997</v>
      </c>
      <c r="G33" s="56">
        <f t="shared" si="7"/>
        <v>1795.41</v>
      </c>
    </row>
    <row r="34" spans="1:8" ht="15.75" thickBot="1" x14ac:dyDescent="0.3">
      <c r="A34" s="127" t="s">
        <v>112</v>
      </c>
      <c r="B34" s="62">
        <v>500</v>
      </c>
      <c r="C34" s="56">
        <f t="shared" ref="C34:G34" si="8">+C20*$B34</f>
        <v>899.77499999999998</v>
      </c>
      <c r="D34" s="56">
        <f t="shared" si="8"/>
        <v>1226.8125</v>
      </c>
      <c r="E34" s="56">
        <f t="shared" si="8"/>
        <v>1602.2999999999997</v>
      </c>
      <c r="F34" s="56">
        <f t="shared" si="8"/>
        <v>1911.1687499999996</v>
      </c>
      <c r="G34" s="56">
        <f t="shared" si="8"/>
        <v>2244.2625000000003</v>
      </c>
    </row>
    <row r="35" spans="1:8" ht="15.75" thickBot="1" x14ac:dyDescent="0.3">
      <c r="A35" s="196" t="s">
        <v>350</v>
      </c>
      <c r="B35" s="197">
        <v>0</v>
      </c>
      <c r="C35" s="198">
        <f>+C21*$B35</f>
        <v>0</v>
      </c>
      <c r="D35" s="198">
        <f t="shared" ref="D35:G35" si="9">+D21*$B35</f>
        <v>0</v>
      </c>
      <c r="E35" s="198">
        <f t="shared" si="9"/>
        <v>0</v>
      </c>
      <c r="F35" s="198">
        <f t="shared" si="9"/>
        <v>0</v>
      </c>
      <c r="G35" s="198">
        <f t="shared" si="9"/>
        <v>0</v>
      </c>
      <c r="H35" t="s">
        <v>351</v>
      </c>
    </row>
    <row r="36" spans="1:8" ht="15.75" thickBot="1" x14ac:dyDescent="0.3">
      <c r="A36" s="127" t="s">
        <v>113</v>
      </c>
      <c r="B36" s="62">
        <v>1000</v>
      </c>
      <c r="C36" s="56">
        <f>+C22*$B36</f>
        <v>150</v>
      </c>
      <c r="D36" s="56">
        <f t="shared" ref="D36:G36" si="10">+D22*$B36</f>
        <v>150</v>
      </c>
      <c r="E36" s="56">
        <f t="shared" si="10"/>
        <v>150</v>
      </c>
      <c r="F36" s="56">
        <f t="shared" si="10"/>
        <v>150</v>
      </c>
      <c r="G36" s="56">
        <f t="shared" si="10"/>
        <v>150</v>
      </c>
    </row>
    <row r="37" spans="1:8" ht="15.75" thickBot="1" x14ac:dyDescent="0.3">
      <c r="A37" s="128"/>
      <c r="B37" s="161"/>
      <c r="C37" s="56"/>
      <c r="D37" s="56"/>
      <c r="E37" s="56"/>
      <c r="F37" s="56"/>
      <c r="G37" s="56"/>
    </row>
    <row r="38" spans="1:8" ht="15.75" thickBot="1" x14ac:dyDescent="0.3">
      <c r="A38" s="128" t="s">
        <v>114</v>
      </c>
      <c r="B38" s="56"/>
      <c r="C38" s="56">
        <f>SUM(C33:C36)</f>
        <v>1769.5949999999998</v>
      </c>
      <c r="D38" s="56">
        <f t="shared" ref="D38:G38" si="11">SUM(D33:D36)</f>
        <v>2358.2624999999998</v>
      </c>
      <c r="E38" s="56">
        <f t="shared" si="11"/>
        <v>3034.1399999999994</v>
      </c>
      <c r="F38" s="56">
        <f t="shared" si="11"/>
        <v>3590.1037499999993</v>
      </c>
      <c r="G38" s="56">
        <f t="shared" si="11"/>
        <v>4189.6725000000006</v>
      </c>
    </row>
    <row r="39" spans="1:8" ht="15.75" thickBot="1" x14ac:dyDescent="0.3">
      <c r="A39" s="127" t="s">
        <v>352</v>
      </c>
      <c r="B39" s="54"/>
      <c r="C39" s="55">
        <f>+C15+C22</f>
        <v>6.1485000000000003</v>
      </c>
      <c r="D39" s="55">
        <f t="shared" ref="D39:G39" si="12">+D15+D22</f>
        <v>8.3287500000000012</v>
      </c>
      <c r="E39" s="55">
        <f t="shared" si="12"/>
        <v>10.831999999999999</v>
      </c>
      <c r="F39" s="55">
        <f t="shared" si="12"/>
        <v>12.891124999999999</v>
      </c>
      <c r="G39" s="55">
        <f t="shared" si="12"/>
        <v>15.111750000000001</v>
      </c>
    </row>
    <row r="40" spans="1:8" x14ac:dyDescent="0.25">
      <c r="A40" s="119"/>
    </row>
    <row r="41" spans="1:8" ht="15.75" thickBot="1" x14ac:dyDescent="0.3">
      <c r="A41" s="219" t="s">
        <v>329</v>
      </c>
    </row>
    <row r="42" spans="1:8" ht="15.75" thickBot="1" x14ac:dyDescent="0.3">
      <c r="A42" s="209"/>
      <c r="B42" s="210" t="s">
        <v>316</v>
      </c>
      <c r="C42" s="210" t="s">
        <v>316</v>
      </c>
    </row>
    <row r="43" spans="1:8" ht="15.75" thickBot="1" x14ac:dyDescent="0.3">
      <c r="A43" s="211" t="s">
        <v>324</v>
      </c>
      <c r="B43" s="210">
        <v>16</v>
      </c>
      <c r="C43" s="210">
        <v>16</v>
      </c>
      <c r="D43" t="s">
        <v>317</v>
      </c>
    </row>
    <row r="44" spans="1:8" ht="15.75" thickBot="1" x14ac:dyDescent="0.3">
      <c r="A44" s="212" t="s">
        <v>325</v>
      </c>
      <c r="B44" s="217">
        <v>12</v>
      </c>
      <c r="C44" s="217">
        <v>4</v>
      </c>
      <c r="D44" t="s">
        <v>318</v>
      </c>
    </row>
    <row r="45" spans="1:8" ht="15.75" thickBot="1" x14ac:dyDescent="0.3">
      <c r="A45" s="213" t="s">
        <v>326</v>
      </c>
      <c r="B45" s="218">
        <v>10</v>
      </c>
      <c r="C45" s="218">
        <v>2</v>
      </c>
      <c r="D45" t="s">
        <v>318</v>
      </c>
    </row>
    <row r="46" spans="1:8" ht="15.75" thickBot="1" x14ac:dyDescent="0.3">
      <c r="A46" s="214"/>
      <c r="B46" s="209"/>
      <c r="C46" s="209"/>
    </row>
    <row r="47" spans="1:8" ht="15.75" thickBot="1" x14ac:dyDescent="0.3">
      <c r="A47" s="214" t="s">
        <v>319</v>
      </c>
      <c r="B47" s="209">
        <f>SUM(B43:B45)</f>
        <v>38</v>
      </c>
      <c r="C47" s="209">
        <f>SUM(C43:C45)</f>
        <v>22</v>
      </c>
    </row>
    <row r="48" spans="1:8" ht="15.75" thickBot="1" x14ac:dyDescent="0.3">
      <c r="A48" s="214" t="s">
        <v>200</v>
      </c>
      <c r="B48" s="209">
        <v>52</v>
      </c>
      <c r="C48" s="209">
        <v>52</v>
      </c>
    </row>
    <row r="49" spans="1:4" ht="15.75" thickBot="1" x14ac:dyDescent="0.3">
      <c r="A49" s="214" t="s">
        <v>323</v>
      </c>
      <c r="B49" s="215">
        <f>+B48/B47</f>
        <v>1.368421052631579</v>
      </c>
      <c r="C49" s="215">
        <f>+C48/C47</f>
        <v>2.3636363636363638</v>
      </c>
      <c r="D49" t="s">
        <v>320</v>
      </c>
    </row>
    <row r="50" spans="1:4" ht="15.75" thickBot="1" x14ac:dyDescent="0.3">
      <c r="A50" s="209"/>
      <c r="B50" s="209"/>
      <c r="C50" s="209"/>
    </row>
    <row r="51" spans="1:4" ht="15.75" thickBot="1" x14ac:dyDescent="0.3">
      <c r="A51" s="214" t="s">
        <v>327</v>
      </c>
      <c r="B51" s="202">
        <v>9</v>
      </c>
      <c r="C51" s="202">
        <v>9</v>
      </c>
    </row>
    <row r="52" spans="1:4" ht="15.75" thickBot="1" x14ac:dyDescent="0.3">
      <c r="A52" s="214" t="s">
        <v>328</v>
      </c>
      <c r="B52" s="215">
        <f>+B51*B49</f>
        <v>12.315789473684211</v>
      </c>
      <c r="C52" s="215">
        <f>+C51*C49</f>
        <v>21.272727272727273</v>
      </c>
    </row>
    <row r="53" spans="1:4" ht="15.75" thickBot="1" x14ac:dyDescent="0.3">
      <c r="A53" s="214"/>
      <c r="B53" s="209"/>
      <c r="C53" s="209"/>
    </row>
    <row r="54" spans="1:4" ht="15.75" thickBot="1" x14ac:dyDescent="0.3">
      <c r="A54" s="214" t="s">
        <v>206</v>
      </c>
      <c r="B54" s="216">
        <v>1500</v>
      </c>
      <c r="C54" s="216">
        <v>1500</v>
      </c>
      <c r="D54" t="s">
        <v>321</v>
      </c>
    </row>
    <row r="55" spans="1:4" ht="15.75" thickBot="1" x14ac:dyDescent="0.3">
      <c r="A55" s="214" t="s">
        <v>207</v>
      </c>
      <c r="B55" s="198">
        <f>+B54/B52</f>
        <v>121.7948717948718</v>
      </c>
      <c r="C55" s="198">
        <f>+C54/C52</f>
        <v>70.512820512820511</v>
      </c>
      <c r="D55" t="s">
        <v>322</v>
      </c>
    </row>
    <row r="56" spans="1:4" x14ac:dyDescent="0.25">
      <c r="C56" s="243">
        <f>+B55-C55</f>
        <v>51.282051282051285</v>
      </c>
    </row>
  </sheetData>
  <sheetProtection sheet="1" objects="1" scenarios="1"/>
  <mergeCells count="1">
    <mergeCell ref="A3:A4"/>
  </mergeCells>
  <pageMargins left="0.7" right="0.7" top="0.75" bottom="0.75" header="0.3" footer="0.3"/>
  <pageSetup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Z175"/>
  <sheetViews>
    <sheetView zoomScale="55" zoomScaleNormal="55" workbookViewId="0">
      <pane ySplit="5025" topLeftCell="A172"/>
      <selection activeCell="P1" sqref="P1"/>
      <selection pane="bottomLeft" activeCell="A172" sqref="A172"/>
    </sheetView>
  </sheetViews>
  <sheetFormatPr defaultRowHeight="15" x14ac:dyDescent="0.25"/>
  <cols>
    <col min="1" max="1" width="16.7109375" customWidth="1"/>
    <col min="5" max="5" width="9.7109375" bestFit="1" customWidth="1"/>
    <col min="6" max="6" width="9.7109375" customWidth="1"/>
    <col min="7" max="7" width="11.7109375" bestFit="1" customWidth="1"/>
    <col min="8" max="8" width="9" bestFit="1" customWidth="1"/>
    <col min="9" max="9" width="12.7109375" bestFit="1" customWidth="1"/>
    <col min="11" max="11" width="13.140625" bestFit="1" customWidth="1"/>
    <col min="13" max="13" width="11.7109375" bestFit="1" customWidth="1"/>
    <col min="15" max="15" width="11.7109375" bestFit="1" customWidth="1"/>
    <col min="17" max="17" width="12.7109375" bestFit="1" customWidth="1"/>
    <col min="19" max="19" width="12.28515625" bestFit="1" customWidth="1"/>
    <col min="21" max="21" width="11.7109375" bestFit="1" customWidth="1"/>
    <col min="23" max="23" width="12.140625" bestFit="1" customWidth="1"/>
  </cols>
  <sheetData>
    <row r="1" spans="1:25" x14ac:dyDescent="0.25">
      <c r="A1" s="118"/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</row>
    <row r="2" spans="1:25" ht="30" x14ac:dyDescent="0.4">
      <c r="A2" s="129" t="s">
        <v>203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30"/>
      <c r="S2" s="130"/>
      <c r="T2" s="130"/>
      <c r="U2" s="130"/>
      <c r="V2" s="130"/>
      <c r="W2" s="130"/>
      <c r="X2" s="130"/>
      <c r="Y2" s="68"/>
    </row>
    <row r="3" spans="1:25" ht="15.75" x14ac:dyDescent="0.25">
      <c r="A3" s="67"/>
      <c r="B3" s="67"/>
      <c r="C3" s="67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68"/>
    </row>
    <row r="4" spans="1:25" ht="15.75" x14ac:dyDescent="0.25">
      <c r="A4" s="131" t="s">
        <v>276</v>
      </c>
      <c r="B4" s="67"/>
      <c r="C4" s="65"/>
      <c r="D4" s="159" t="s">
        <v>277</v>
      </c>
      <c r="E4" s="160"/>
      <c r="G4" s="77">
        <v>4</v>
      </c>
      <c r="H4" s="68"/>
      <c r="I4" s="92" t="s">
        <v>115</v>
      </c>
      <c r="J4" s="68"/>
      <c r="L4" s="77">
        <v>4</v>
      </c>
      <c r="M4" s="68"/>
      <c r="N4" s="92" t="s">
        <v>162</v>
      </c>
      <c r="O4" s="68"/>
      <c r="P4" s="68"/>
      <c r="Q4" s="95">
        <v>7</v>
      </c>
      <c r="R4" s="68"/>
      <c r="S4" s="68"/>
      <c r="T4" s="68"/>
      <c r="U4" s="68"/>
      <c r="V4" s="68"/>
      <c r="W4" s="68"/>
      <c r="X4" s="68"/>
      <c r="Y4" s="71"/>
    </row>
    <row r="5" spans="1:25" ht="15.75" x14ac:dyDescent="0.25">
      <c r="A5" s="67"/>
      <c r="B5" s="67"/>
      <c r="C5" s="65"/>
      <c r="D5" s="68"/>
      <c r="E5" s="68"/>
      <c r="F5" s="68"/>
      <c r="G5" s="68" t="s">
        <v>332</v>
      </c>
      <c r="H5" s="68"/>
      <c r="I5" s="68"/>
      <c r="J5" s="68"/>
      <c r="K5" s="68"/>
      <c r="L5" s="68" t="s">
        <v>332</v>
      </c>
      <c r="M5" s="68"/>
      <c r="N5" s="68"/>
      <c r="O5" s="68"/>
      <c r="P5" s="68"/>
      <c r="Q5" s="68" t="s">
        <v>338</v>
      </c>
      <c r="R5" s="68"/>
      <c r="S5" s="68"/>
      <c r="T5" s="68"/>
      <c r="U5" s="68"/>
      <c r="V5" s="68"/>
      <c r="W5" s="68"/>
      <c r="X5" s="68"/>
      <c r="Y5" s="68"/>
    </row>
    <row r="6" spans="1:25" ht="15.75" x14ac:dyDescent="0.25">
      <c r="A6" s="131"/>
      <c r="B6" s="67"/>
      <c r="C6" s="65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 t="s">
        <v>339</v>
      </c>
      <c r="R6" s="68"/>
      <c r="S6" s="68"/>
      <c r="T6" s="68"/>
      <c r="U6" s="68"/>
      <c r="V6" s="68"/>
      <c r="W6" s="68"/>
      <c r="X6" s="68"/>
      <c r="Y6" s="68"/>
    </row>
    <row r="7" spans="1:25" ht="16.5" thickBot="1" x14ac:dyDescent="0.3">
      <c r="A7" s="132"/>
      <c r="B7" s="67"/>
      <c r="C7" s="67" t="s">
        <v>133</v>
      </c>
      <c r="D7" s="95">
        <v>2014</v>
      </c>
      <c r="E7" s="93"/>
      <c r="F7" s="241">
        <f>+D7+1</f>
        <v>2015</v>
      </c>
      <c r="G7" s="242"/>
      <c r="H7" s="241">
        <f>+F7+1</f>
        <v>2016</v>
      </c>
      <c r="I7" s="242"/>
      <c r="J7" s="241">
        <f>+H7+1</f>
        <v>2017</v>
      </c>
      <c r="K7" s="242"/>
      <c r="L7" s="241">
        <f>+J7+1</f>
        <v>2018</v>
      </c>
      <c r="M7" s="242"/>
      <c r="N7" s="241">
        <f>+L7+1</f>
        <v>2019</v>
      </c>
      <c r="O7" s="242"/>
      <c r="P7" s="241">
        <f>+N7+1</f>
        <v>2020</v>
      </c>
      <c r="Q7" s="242"/>
      <c r="R7" s="241">
        <f>+P7+1</f>
        <v>2021</v>
      </c>
      <c r="S7" s="242"/>
      <c r="T7" s="241">
        <f>+R7+1</f>
        <v>2022</v>
      </c>
      <c r="U7" s="242"/>
      <c r="V7" s="241">
        <f>+T7+1</f>
        <v>2023</v>
      </c>
      <c r="W7" s="242"/>
      <c r="X7" s="241">
        <f>+V7+1</f>
        <v>2024</v>
      </c>
      <c r="Y7" s="68"/>
    </row>
    <row r="8" spans="1:25" ht="23.25" x14ac:dyDescent="0.35">
      <c r="A8" s="133" t="s">
        <v>139</v>
      </c>
      <c r="B8" s="67"/>
      <c r="C8" s="67"/>
      <c r="D8" s="72"/>
      <c r="E8" s="72"/>
      <c r="F8" s="72"/>
      <c r="G8" s="72"/>
      <c r="H8" s="72"/>
      <c r="I8" s="72"/>
      <c r="J8" s="72"/>
      <c r="K8" s="72"/>
      <c r="L8" s="72"/>
      <c r="M8" s="72"/>
      <c r="N8" s="72"/>
      <c r="O8" s="72"/>
      <c r="P8" s="72"/>
      <c r="Q8" s="72"/>
      <c r="R8" s="72"/>
      <c r="S8" s="72"/>
      <c r="T8" s="72"/>
      <c r="U8" s="72"/>
      <c r="V8" s="72"/>
      <c r="W8" s="72"/>
      <c r="X8" s="72"/>
      <c r="Y8" s="68"/>
    </row>
    <row r="9" spans="1:25" ht="15.75" x14ac:dyDescent="0.25">
      <c r="A9" s="131"/>
      <c r="B9" s="67"/>
      <c r="C9" s="67"/>
      <c r="D9" s="220" t="s">
        <v>333</v>
      </c>
      <c r="E9" s="68"/>
      <c r="F9" s="68"/>
      <c r="G9" s="68"/>
      <c r="H9" s="68"/>
      <c r="I9" s="68"/>
      <c r="J9" s="68"/>
      <c r="K9" s="68"/>
      <c r="L9" s="68"/>
      <c r="M9" s="68"/>
      <c r="N9" s="68"/>
      <c r="O9" s="68"/>
      <c r="P9" s="68"/>
      <c r="Q9" s="68"/>
      <c r="R9" s="68"/>
      <c r="S9" s="68"/>
      <c r="T9" s="68"/>
      <c r="U9" s="68"/>
      <c r="V9" s="68"/>
      <c r="W9" s="68"/>
      <c r="X9" s="68"/>
      <c r="Y9" s="68"/>
    </row>
    <row r="10" spans="1:25" ht="15.75" x14ac:dyDescent="0.25">
      <c r="A10" s="131" t="s">
        <v>116</v>
      </c>
      <c r="B10" s="67"/>
      <c r="C10" s="67"/>
      <c r="D10" s="95">
        <v>5</v>
      </c>
      <c r="E10" s="92"/>
      <c r="F10" s="96">
        <f>IF((E91+E46)&gt;$Q4,$Q4,E91)</f>
        <v>4.2</v>
      </c>
      <c r="G10" s="92"/>
      <c r="H10" s="96">
        <f>IF((G91+G46)&gt;$Q4,$Q4,G91)</f>
        <v>4.5180000000000007</v>
      </c>
      <c r="I10" s="92"/>
      <c r="J10" s="96">
        <f>IF((I91+I46)&gt;$Q4,$Q4,I91)</f>
        <v>4.75542</v>
      </c>
      <c r="K10" s="92"/>
      <c r="L10" s="96">
        <f>IF((K91+K46)&gt;$Q4,$Q4,K91)</f>
        <v>5.4853218000000004</v>
      </c>
      <c r="M10" s="92"/>
      <c r="N10" s="96">
        <f>IF((M91+M46)&gt;$Q4,$Q4,M91)</f>
        <v>5.3057079720000004</v>
      </c>
      <c r="O10" s="92"/>
      <c r="P10" s="96">
        <f>IF((O91+O46)&gt;$Q4,$Q4,O91)</f>
        <v>5.3128996228799998</v>
      </c>
      <c r="Q10" s="92"/>
      <c r="R10" s="96">
        <f>IF((Q91+Q46)&gt;$Q4,$Q4,Q91)</f>
        <v>5.4992415458502002</v>
      </c>
      <c r="S10" s="92"/>
      <c r="T10" s="96">
        <f>IF((S91+S46)&gt;$Q4,$Q4,S91)</f>
        <v>6.0255684539816583</v>
      </c>
      <c r="U10" s="92"/>
      <c r="V10" s="96">
        <f>IF((U91+U46)&gt;$Q4,$Q4,U91)</f>
        <v>6.43453868887506</v>
      </c>
      <c r="W10" s="92"/>
      <c r="X10" s="96">
        <f>IF((W91+W46)&gt;$Q4,$Q4,W91)</f>
        <v>6.7497100377557544</v>
      </c>
      <c r="Y10" s="92"/>
    </row>
    <row r="11" spans="1:25" ht="15.75" x14ac:dyDescent="0.25">
      <c r="A11" s="131"/>
      <c r="B11" s="67"/>
      <c r="C11" s="67"/>
      <c r="D11" s="92"/>
      <c r="E11" s="92"/>
      <c r="F11" s="96"/>
      <c r="G11" s="92"/>
      <c r="H11" s="96"/>
      <c r="I11" s="92"/>
      <c r="J11" s="96"/>
      <c r="K11" s="92"/>
      <c r="L11" s="96"/>
      <c r="M11" s="92"/>
      <c r="N11" s="96"/>
      <c r="O11" s="92"/>
      <c r="P11" s="96"/>
      <c r="Q11" s="92"/>
      <c r="R11" s="96"/>
      <c r="S11" s="92"/>
      <c r="T11" s="96"/>
      <c r="U11" s="92"/>
      <c r="V11" s="96"/>
      <c r="W11" s="92"/>
      <c r="X11" s="96"/>
      <c r="Y11" s="92"/>
    </row>
    <row r="12" spans="1:25" ht="15.75" x14ac:dyDescent="0.25">
      <c r="A12" s="131" t="s">
        <v>117</v>
      </c>
      <c r="B12" s="67"/>
      <c r="C12" s="67"/>
      <c r="D12" s="95">
        <v>0</v>
      </c>
      <c r="E12" s="92"/>
      <c r="F12" s="96">
        <f>IF($L$4=4,(D13+E47)-(D13*D78/100),0)</f>
        <v>0.99</v>
      </c>
      <c r="G12" s="96"/>
      <c r="H12" s="96">
        <f>IF($L$4=4,(F13+G47)-(F13*F78/100),0)</f>
        <v>0.96029999999999993</v>
      </c>
      <c r="I12" s="96"/>
      <c r="J12" s="96">
        <f>IF($L$4=4,(H13+I47)-(H13*H78/100),0)</f>
        <v>1.72854</v>
      </c>
      <c r="K12" s="96"/>
      <c r="L12" s="96">
        <f>IF($L$4=4,(J13+K47)-(J13*J78/100),0)</f>
        <v>0.97230374999999991</v>
      </c>
      <c r="M12" s="96"/>
      <c r="N12" s="96">
        <f>IF($L$4=4,(L13+M47)-(L13*L78/100),0)</f>
        <v>1.1213903250000001</v>
      </c>
      <c r="O12" s="96"/>
      <c r="P12" s="96">
        <f>IF($L$4=4,(N13+O47)-(N13*N78/100),0)</f>
        <v>1.302050843775</v>
      </c>
      <c r="Q12" s="96"/>
      <c r="R12" s="96">
        <f>IF($L$4=4,(P13+Q47)-(P13*P78/100),0)</f>
        <v>1.68116763276</v>
      </c>
      <c r="S12" s="96"/>
      <c r="T12" s="96">
        <f>IF($L$4=4,(R13+S47)-(R13*R78/100),0)</f>
        <v>1.6743396102295502</v>
      </c>
      <c r="U12" s="96"/>
      <c r="V12" s="96">
        <f>IF($L$4=4,(T13+U47)-(T13*T78/100),0)</f>
        <v>1.6664244735444573</v>
      </c>
      <c r="W12" s="96"/>
      <c r="X12" s="96">
        <f>IF($L$4=4,(V13+W47)-(V13*V78/100),0)</f>
        <v>1.7151309719447749</v>
      </c>
      <c r="Y12" s="92"/>
    </row>
    <row r="13" spans="1:25" ht="15.75" x14ac:dyDescent="0.25">
      <c r="A13" s="131" t="s">
        <v>118</v>
      </c>
      <c r="B13" s="67"/>
      <c r="C13" s="67"/>
      <c r="D13" s="95">
        <v>1</v>
      </c>
      <c r="E13" s="92"/>
      <c r="F13" s="96">
        <f>IF($G$4&gt;2,(D14+E48)-(D14*D79/100),0)</f>
        <v>0.97</v>
      </c>
      <c r="G13" s="92"/>
      <c r="H13" s="96">
        <f>IF($G$4&gt;2,(F14+G48)-(F14*F79/100),0)</f>
        <v>1.746</v>
      </c>
      <c r="I13" s="92"/>
      <c r="J13" s="96">
        <f>IF($G$4&gt;2,(H14+I48)-(H14*H79/100),0)</f>
        <v>0.98212499999999991</v>
      </c>
      <c r="K13" s="92"/>
      <c r="L13" s="96">
        <f>IF($G$4&gt;2,(J14+K48)-(J14*J79/100),0)</f>
        <v>1.1327175</v>
      </c>
      <c r="M13" s="92"/>
      <c r="N13" s="96">
        <f>IF($G$4&gt;2,(L14+M48)-(L14*L79/100),0)</f>
        <v>1.3152028725</v>
      </c>
      <c r="O13" s="92"/>
      <c r="P13" s="96">
        <f>IF($G$4&gt;2,(N14+O48)-(N14*N79/100),0)</f>
        <v>1.698149124</v>
      </c>
      <c r="Q13" s="92"/>
      <c r="R13" s="96">
        <f>IF($G$4&gt;2,(P14+Q48)-(P14*P79/100),0)</f>
        <v>1.6912521315450002</v>
      </c>
      <c r="S13" s="92"/>
      <c r="T13" s="96">
        <f>IF($G$4&gt;2,(R14+S48)-(R14*R79/100),0)</f>
        <v>1.6832570439843004</v>
      </c>
      <c r="U13" s="92"/>
      <c r="V13" s="96">
        <f>IF($G$4&gt;2,(T14+U48)-(T14*T79/100),0)</f>
        <v>1.7324555272169444</v>
      </c>
      <c r="W13" s="92"/>
      <c r="X13" s="96">
        <f>IF($G$4&gt;2,(V14+W48)-(V14*V79/100),0)</f>
        <v>1.8805491638780114</v>
      </c>
      <c r="Y13" s="92"/>
    </row>
    <row r="14" spans="1:25" ht="15.75" x14ac:dyDescent="0.25">
      <c r="A14" s="131" t="s">
        <v>119</v>
      </c>
      <c r="B14" s="67"/>
      <c r="C14" s="67"/>
      <c r="D14" s="95">
        <v>1</v>
      </c>
      <c r="E14" s="92"/>
      <c r="F14" s="96">
        <f>IF($G$4&gt;1,(D15+E49)-(D15*D80/100),0)</f>
        <v>1.8</v>
      </c>
      <c r="G14" s="92"/>
      <c r="H14" s="96">
        <f>IF($G$4&gt;1,(F15+G49)-(F15*F80/100),0)</f>
        <v>1.0125</v>
      </c>
      <c r="I14" s="92"/>
      <c r="J14" s="96">
        <f>IF($G$4&gt;1,(H15+I49)-(H15*H80/100),0)</f>
        <v>1.1677500000000001</v>
      </c>
      <c r="K14" s="92"/>
      <c r="L14" s="96">
        <f>IF($G$4&gt;1,(J15+K49)-(J15*J80/100),0)</f>
        <v>1.3558792500000001</v>
      </c>
      <c r="M14" s="92"/>
      <c r="N14" s="96">
        <f>IF($G$4&gt;1,(L15+M49)-(L15*L80/100),0)</f>
        <v>1.7506691999999999</v>
      </c>
      <c r="O14" s="92"/>
      <c r="P14" s="96">
        <f>IF($G$4&gt;1,(N15+O49)-(N15*N80/100),0)</f>
        <v>1.7435588985000001</v>
      </c>
      <c r="Q14" s="92"/>
      <c r="R14" s="96">
        <f>IF($G$4&gt;1,(P15+Q49)-(P15*P80/100),0)</f>
        <v>1.7353165401900004</v>
      </c>
      <c r="S14" s="92"/>
      <c r="T14" s="96">
        <f>IF($G$4&gt;1,(R15+S49)-(R15*R80/100),0)</f>
        <v>1.7860366259968499</v>
      </c>
      <c r="U14" s="92"/>
      <c r="V14" s="96">
        <f>IF($G$4&gt;1,(T15+U49)-(T15*T80/100),0)</f>
        <v>1.938710478224754</v>
      </c>
      <c r="W14" s="92"/>
      <c r="X14" s="96">
        <f>IF($G$4&gt;1,(V15+W49)-(V15*V80/100),0)</f>
        <v>2.0789751773370262</v>
      </c>
      <c r="Y14" s="92"/>
    </row>
    <row r="15" spans="1:25" ht="15.75" x14ac:dyDescent="0.25">
      <c r="A15" s="131" t="s">
        <v>120</v>
      </c>
      <c r="B15" s="67"/>
      <c r="C15" s="67"/>
      <c r="D15" s="95">
        <v>2</v>
      </c>
      <c r="E15" s="92"/>
      <c r="F15" s="96">
        <f>((E31/2))</f>
        <v>1.125</v>
      </c>
      <c r="G15" s="92"/>
      <c r="H15" s="96">
        <f>((G31/2))</f>
        <v>1.2975000000000001</v>
      </c>
      <c r="I15" s="92"/>
      <c r="J15" s="96">
        <f>((I31/2))</f>
        <v>1.5065325000000001</v>
      </c>
      <c r="K15" s="92"/>
      <c r="L15" s="96">
        <f>((K31/2))</f>
        <v>1.9451879999999999</v>
      </c>
      <c r="M15" s="92"/>
      <c r="N15" s="96">
        <f>((M31/2))</f>
        <v>1.9372876650000002</v>
      </c>
      <c r="O15" s="92"/>
      <c r="P15" s="96">
        <f>((O31/2))</f>
        <v>1.9281294891000003</v>
      </c>
      <c r="Q15" s="92"/>
      <c r="R15" s="96">
        <f>((Q31/2))</f>
        <v>1.9844851399964998</v>
      </c>
      <c r="S15" s="92"/>
      <c r="T15" s="96">
        <f>((S31/2))</f>
        <v>2.15412275358306</v>
      </c>
      <c r="U15" s="92"/>
      <c r="V15" s="96">
        <f>((U31/2))</f>
        <v>2.3099724192633624</v>
      </c>
      <c r="W15" s="92"/>
      <c r="X15" s="96">
        <f>((W31/2))</f>
        <v>2.4302889487258552</v>
      </c>
      <c r="Y15" s="92"/>
    </row>
    <row r="16" spans="1:25" ht="15.75" x14ac:dyDescent="0.25">
      <c r="A16" s="131" t="s">
        <v>204</v>
      </c>
      <c r="B16" s="67"/>
      <c r="C16" s="67"/>
      <c r="D16" s="105">
        <f>SUM(D10:D15)</f>
        <v>9</v>
      </c>
      <c r="E16" s="105"/>
      <c r="F16" s="105">
        <f>SUM(F10:F15)</f>
        <v>9.0850000000000009</v>
      </c>
      <c r="G16" s="105"/>
      <c r="H16" s="105">
        <f>SUM(H10:H15)</f>
        <v>9.5343</v>
      </c>
      <c r="I16" s="105"/>
      <c r="J16" s="105">
        <f>SUM(J10:J15)</f>
        <v>10.1403675</v>
      </c>
      <c r="K16" s="105"/>
      <c r="L16" s="105">
        <f>SUM(L10:L15)</f>
        <v>10.8914103</v>
      </c>
      <c r="M16" s="105"/>
      <c r="N16" s="105">
        <f>SUM(N10:N15)</f>
        <v>11.4302580345</v>
      </c>
      <c r="O16" s="105"/>
      <c r="P16" s="105">
        <f>SUM(P10:P15)</f>
        <v>11.984787978255</v>
      </c>
      <c r="Q16" s="105"/>
      <c r="R16" s="105">
        <f>SUM(R10:R15)</f>
        <v>12.5914629903417</v>
      </c>
      <c r="S16" s="105"/>
      <c r="T16" s="105">
        <f>SUM(T10:T15)</f>
        <v>13.32332448777542</v>
      </c>
      <c r="U16" s="105"/>
      <c r="V16" s="105">
        <f>SUM(V10:V15)</f>
        <v>14.082101587124578</v>
      </c>
      <c r="W16" s="105"/>
      <c r="X16" s="105">
        <f>SUM(X10:X15)</f>
        <v>14.854654299641425</v>
      </c>
      <c r="Y16" s="92"/>
    </row>
    <row r="17" spans="1:25" ht="15.75" x14ac:dyDescent="0.25">
      <c r="A17" s="131"/>
      <c r="B17" s="67"/>
      <c r="C17" s="67"/>
      <c r="D17" s="92"/>
      <c r="E17" s="92"/>
      <c r="F17" s="92"/>
      <c r="G17" s="92"/>
      <c r="H17" s="92"/>
      <c r="I17" s="92"/>
      <c r="J17" s="92"/>
      <c r="K17" s="92"/>
      <c r="L17" s="92"/>
      <c r="M17" s="92"/>
      <c r="N17" s="92"/>
      <c r="O17" s="92"/>
      <c r="P17" s="92"/>
      <c r="Q17" s="92"/>
      <c r="R17" s="92"/>
      <c r="S17" s="92"/>
      <c r="T17" s="92"/>
      <c r="U17" s="92"/>
      <c r="V17" s="92"/>
      <c r="W17" s="92"/>
      <c r="X17" s="92"/>
      <c r="Y17" s="92"/>
    </row>
    <row r="18" spans="1:25" ht="15.75" x14ac:dyDescent="0.25">
      <c r="A18" s="131"/>
      <c r="B18" s="67"/>
      <c r="C18" s="67"/>
      <c r="D18" s="92"/>
      <c r="E18" s="92"/>
      <c r="F18" s="92"/>
      <c r="G18" s="92"/>
      <c r="H18" s="92"/>
      <c r="I18" s="92"/>
      <c r="J18" s="92"/>
      <c r="K18" s="92"/>
      <c r="L18" s="92"/>
      <c r="M18" s="92"/>
      <c r="N18" s="92"/>
      <c r="O18" s="92"/>
      <c r="P18" s="92"/>
      <c r="Q18" s="92"/>
      <c r="R18" s="92"/>
      <c r="S18" s="92"/>
      <c r="T18" s="92"/>
      <c r="U18" s="92"/>
      <c r="V18" s="92"/>
      <c r="W18" s="92"/>
      <c r="X18" s="92"/>
      <c r="Y18" s="92"/>
    </row>
    <row r="19" spans="1:25" ht="15.75" x14ac:dyDescent="0.25">
      <c r="A19" s="131" t="s">
        <v>121</v>
      </c>
      <c r="B19" s="67"/>
      <c r="C19" s="67"/>
      <c r="D19" s="95">
        <v>0</v>
      </c>
      <c r="E19" s="92"/>
      <c r="F19" s="96">
        <f>IF($G$4=4,(D20+E41)-(D20*D83/100),0)</f>
        <v>0.99</v>
      </c>
      <c r="G19" s="96"/>
      <c r="H19" s="96">
        <f>IF($G$4=4,(F20+G41)-(F20*F83/100),0)</f>
        <v>0.96029999999999993</v>
      </c>
      <c r="I19" s="96"/>
      <c r="J19" s="96">
        <f>IF($G$4=4,(H20+I41)-(H20*H83/100),0)</f>
        <v>1.72854</v>
      </c>
      <c r="K19" s="96"/>
      <c r="L19" s="96">
        <f>IF($G$4=4,(J20+K41)-(J20*J83/100),0)</f>
        <v>0.97230374999999991</v>
      </c>
      <c r="M19" s="96"/>
      <c r="N19" s="96">
        <f>IF($G$4=4,(L20+M41)-(L20*L83/100),0)</f>
        <v>1.1213903250000001</v>
      </c>
      <c r="O19" s="96"/>
      <c r="P19" s="96">
        <f>IF($G$4=4,(N20+O41)-(N20*N83/100),0)</f>
        <v>1.302050843775</v>
      </c>
      <c r="Q19" s="96"/>
      <c r="R19" s="96">
        <f>IF($G$4=4,(P20+Q41)-(P20*P83/100),0)</f>
        <v>1.68116763276</v>
      </c>
      <c r="S19" s="96"/>
      <c r="T19" s="96">
        <f>IF($G$4=4,(R20+S41)-(R20*R83/100),0)</f>
        <v>1.6743396102295502</v>
      </c>
      <c r="U19" s="96"/>
      <c r="V19" s="96">
        <f>IF($G$4=4,(T20+U41)-(T20*T83/100),0)</f>
        <v>1.6664244735444573</v>
      </c>
      <c r="W19" s="96"/>
      <c r="X19" s="96">
        <f>IF($G$4=4,(V20+W41)-(V20*V83/100),0)</f>
        <v>1.7151309719447749</v>
      </c>
      <c r="Y19" s="92"/>
    </row>
    <row r="20" spans="1:25" ht="15.75" x14ac:dyDescent="0.25">
      <c r="A20" s="131" t="s">
        <v>122</v>
      </c>
      <c r="B20" s="67"/>
      <c r="C20" s="67"/>
      <c r="D20" s="95">
        <v>1</v>
      </c>
      <c r="E20" s="92"/>
      <c r="F20" s="96">
        <f>IF($G$4&gt;2,(D21+E42)-(D21*D84/100),0)</f>
        <v>0.97</v>
      </c>
      <c r="G20" s="92"/>
      <c r="H20" s="96">
        <f>IF($G$4&gt;2,(F21+G42)-(F21*F84/100),0)</f>
        <v>1.746</v>
      </c>
      <c r="I20" s="92"/>
      <c r="J20" s="96">
        <f>IF($G$4&gt;2,(H21+I42)-(H21*H84/100),0)</f>
        <v>0.98212499999999991</v>
      </c>
      <c r="K20" s="92"/>
      <c r="L20" s="96">
        <f>IF($G$4&gt;2,(J21+K42)-(J21*J84/100),0)</f>
        <v>1.1327175</v>
      </c>
      <c r="M20" s="96"/>
      <c r="N20" s="96">
        <f>IF($G$4&gt;2,(L21+M42)-(L21*L84/100),0)</f>
        <v>1.3152028725</v>
      </c>
      <c r="O20" s="92"/>
      <c r="P20" s="96">
        <f>IF($G$4&gt;2,(N21+O42)-(N21*N84/100),0)</f>
        <v>1.698149124</v>
      </c>
      <c r="Q20" s="92"/>
      <c r="R20" s="96">
        <f>IF($G$4&gt;2,(P21+Q42)-(P21*P84/100),0)</f>
        <v>1.6912521315450002</v>
      </c>
      <c r="S20" s="92"/>
      <c r="T20" s="96">
        <f>IF($G$4&gt;2,(R21+S42)-(R21*R84/100),0)</f>
        <v>1.6832570439843004</v>
      </c>
      <c r="U20" s="92"/>
      <c r="V20" s="96">
        <f>IF($G$4&gt;2,(T21+U42)-(T21*T84/100),0)</f>
        <v>1.7324555272169444</v>
      </c>
      <c r="W20" s="92"/>
      <c r="X20" s="96">
        <f>IF($G$4&gt;2,(V21+W42)-(V21*V84/100),0)</f>
        <v>1.8805491638780114</v>
      </c>
      <c r="Y20" s="92"/>
    </row>
    <row r="21" spans="1:25" ht="15.75" x14ac:dyDescent="0.25">
      <c r="A21" s="131" t="s">
        <v>123</v>
      </c>
      <c r="B21" s="67"/>
      <c r="C21" s="67"/>
      <c r="D21" s="95">
        <v>1</v>
      </c>
      <c r="E21" s="92"/>
      <c r="F21" s="96">
        <f>IF($G$4&gt;1,(D22+E43)-(D22*D85/100),0)</f>
        <v>1.8</v>
      </c>
      <c r="G21" s="92"/>
      <c r="H21" s="96">
        <f>IF($G$4&gt;1,(F22+G43)-(F22*F85/100),0)</f>
        <v>1.0125</v>
      </c>
      <c r="I21" s="92"/>
      <c r="J21" s="96">
        <f>IF($G$4&gt;1,(H22+I43)-(H22*H85/100),0)</f>
        <v>1.1677500000000001</v>
      </c>
      <c r="K21" s="92"/>
      <c r="L21" s="96">
        <f>IF($G$4&gt;1,(J22+K43)-(J22*J85/100),0)</f>
        <v>1.3558792500000001</v>
      </c>
      <c r="M21" s="96"/>
      <c r="N21" s="96">
        <f>IF($G$4&gt;1,(L22+M43)-(L22*L85/100),0)</f>
        <v>1.7506691999999999</v>
      </c>
      <c r="O21" s="92"/>
      <c r="P21" s="96">
        <f>IF($G$4&gt;1,(N22+O43)-(N22*N85/100),0)</f>
        <v>1.7435588985000001</v>
      </c>
      <c r="Q21" s="92"/>
      <c r="R21" s="96">
        <f>IF($G$4&gt;1,(P22+Q43)-(P22*P85/100),0)</f>
        <v>1.7353165401900004</v>
      </c>
      <c r="S21" s="92"/>
      <c r="T21" s="96">
        <f>IF($G$4&gt;1,(R22+S43)-(R22*R85/100),0)</f>
        <v>1.7860366259968499</v>
      </c>
      <c r="U21" s="92"/>
      <c r="V21" s="96">
        <f>IF($G$4&gt;1,(T22+U43)-(T22*T85/100),0)</f>
        <v>1.938710478224754</v>
      </c>
      <c r="W21" s="92"/>
      <c r="X21" s="96">
        <f>IF($G$4&gt;1,(V22+W43)-(V22*V85/100),0)</f>
        <v>2.0789751773370262</v>
      </c>
      <c r="Y21" s="92"/>
    </row>
    <row r="22" spans="1:25" ht="15.75" x14ac:dyDescent="0.25">
      <c r="A22" s="131" t="s">
        <v>124</v>
      </c>
      <c r="B22" s="67"/>
      <c r="C22" s="67"/>
      <c r="D22" s="95">
        <v>2</v>
      </c>
      <c r="E22" s="92"/>
      <c r="F22" s="96">
        <f>((E31/2)+E44)</f>
        <v>1.125</v>
      </c>
      <c r="G22" s="92"/>
      <c r="H22" s="96">
        <f>((G31/2)+G44)</f>
        <v>1.2975000000000001</v>
      </c>
      <c r="I22" s="92"/>
      <c r="J22" s="96">
        <f>((I31/2)+I44)</f>
        <v>1.5065325000000001</v>
      </c>
      <c r="K22" s="92"/>
      <c r="L22" s="96">
        <f>((K31/2)+K44)</f>
        <v>1.9451879999999999</v>
      </c>
      <c r="M22" s="92"/>
      <c r="N22" s="96">
        <f>((M31/2)+M44)</f>
        <v>1.9372876650000002</v>
      </c>
      <c r="O22" s="92"/>
      <c r="P22" s="96">
        <f>((O31/2)+O44)</f>
        <v>1.9281294891000003</v>
      </c>
      <c r="Q22" s="92"/>
      <c r="R22" s="96">
        <f>((Q31/2)+Q44)</f>
        <v>1.9844851399964998</v>
      </c>
      <c r="S22" s="92"/>
      <c r="T22" s="96">
        <f>((S31/2)+S44)</f>
        <v>2.15412275358306</v>
      </c>
      <c r="U22" s="92"/>
      <c r="V22" s="96">
        <f>((U31/2)+U44)</f>
        <v>2.3099724192633624</v>
      </c>
      <c r="W22" s="92"/>
      <c r="X22" s="96">
        <f>((W31/2)+W44)</f>
        <v>2.4302889487258552</v>
      </c>
      <c r="Y22" s="92"/>
    </row>
    <row r="23" spans="1:25" ht="15.75" x14ac:dyDescent="0.25">
      <c r="A23" s="131" t="s">
        <v>205</v>
      </c>
      <c r="B23" s="67"/>
      <c r="C23" s="67"/>
      <c r="D23" s="105">
        <f>SUM(D19:D22)</f>
        <v>4</v>
      </c>
      <c r="E23" s="163"/>
      <c r="F23" s="163">
        <f>SUM(F19:F22)</f>
        <v>4.8849999999999998</v>
      </c>
      <c r="G23" s="163"/>
      <c r="H23" s="163">
        <f>SUM(H19:H22)</f>
        <v>5.0163000000000002</v>
      </c>
      <c r="I23" s="163"/>
      <c r="J23" s="163">
        <f>SUM(J19:J22)</f>
        <v>5.3849474999999991</v>
      </c>
      <c r="K23" s="163"/>
      <c r="L23" s="163">
        <f>SUM(L19:L22)</f>
        <v>5.4060885000000001</v>
      </c>
      <c r="M23" s="163"/>
      <c r="N23" s="163">
        <f>SUM(N19:N22)</f>
        <v>6.1245500625</v>
      </c>
      <c r="O23" s="163"/>
      <c r="P23" s="163">
        <f>SUM(P19:P22)</f>
        <v>6.6718883553749997</v>
      </c>
      <c r="Q23" s="163"/>
      <c r="R23" s="163">
        <f>SUM(R19:R22)</f>
        <v>7.0922214444915008</v>
      </c>
      <c r="S23" s="163"/>
      <c r="T23" s="163">
        <f>SUM(T19:T22)</f>
        <v>7.2977560337937604</v>
      </c>
      <c r="U23" s="163"/>
      <c r="V23" s="163">
        <f>SUM(V19:V22)</f>
        <v>7.6475628982495181</v>
      </c>
      <c r="W23" s="163"/>
      <c r="X23" s="105">
        <f>SUM(X19:X22)</f>
        <v>8.1049442618856666</v>
      </c>
      <c r="Y23" s="92"/>
    </row>
    <row r="24" spans="1:25" ht="15.75" x14ac:dyDescent="0.25">
      <c r="A24" s="131"/>
      <c r="B24" s="67"/>
      <c r="C24" s="67"/>
      <c r="D24" s="92"/>
      <c r="E24" s="92"/>
      <c r="F24" s="92"/>
      <c r="G24" s="92"/>
      <c r="H24" s="92"/>
      <c r="I24" s="92"/>
      <c r="J24" s="92"/>
      <c r="K24" s="92"/>
      <c r="L24" s="92"/>
      <c r="M24" s="92"/>
      <c r="N24" s="92"/>
      <c r="O24" s="92"/>
      <c r="P24" s="92"/>
      <c r="Q24" s="92"/>
      <c r="R24" s="92"/>
      <c r="S24" s="92"/>
      <c r="T24" s="92"/>
      <c r="U24" s="92"/>
      <c r="V24" s="92"/>
      <c r="W24" s="92"/>
      <c r="X24" s="92"/>
      <c r="Y24" s="92"/>
    </row>
    <row r="25" spans="1:25" ht="15.75" x14ac:dyDescent="0.25">
      <c r="A25" s="131" t="s">
        <v>125</v>
      </c>
      <c r="B25" s="67"/>
      <c r="C25" s="67"/>
      <c r="D25" s="98">
        <v>1</v>
      </c>
      <c r="E25" s="92"/>
      <c r="F25" s="96">
        <f>D25+E40</f>
        <v>1</v>
      </c>
      <c r="G25" s="92"/>
      <c r="H25" s="96">
        <f>F25+G40</f>
        <v>1</v>
      </c>
      <c r="I25" s="92"/>
      <c r="J25" s="96">
        <f>H25+I40</f>
        <v>1</v>
      </c>
      <c r="K25" s="92"/>
      <c r="L25" s="96">
        <f>J25+K40</f>
        <v>1</v>
      </c>
      <c r="M25" s="92"/>
      <c r="N25" s="96">
        <f>L25+M40</f>
        <v>1</v>
      </c>
      <c r="O25" s="92"/>
      <c r="P25" s="96">
        <f>N25+O40</f>
        <v>1</v>
      </c>
      <c r="Q25" s="92"/>
      <c r="R25" s="96">
        <f>P25+Q40</f>
        <v>1</v>
      </c>
      <c r="S25" s="92"/>
      <c r="T25" s="96">
        <f>R25+S40</f>
        <v>1</v>
      </c>
      <c r="U25" s="92"/>
      <c r="V25" s="96">
        <f>T25+U40</f>
        <v>1</v>
      </c>
      <c r="W25" s="92"/>
      <c r="X25" s="96">
        <f>V25+W40</f>
        <v>1</v>
      </c>
      <c r="Y25" s="92"/>
    </row>
    <row r="26" spans="1:25" ht="15.75" x14ac:dyDescent="0.25">
      <c r="A26" s="131" t="s">
        <v>278</v>
      </c>
      <c r="B26" s="67"/>
      <c r="C26" s="67"/>
      <c r="D26" s="92"/>
      <c r="E26" s="96">
        <f>D10/D25</f>
        <v>5</v>
      </c>
      <c r="F26" s="92"/>
      <c r="G26" s="96">
        <f>F10/F25</f>
        <v>4.2</v>
      </c>
      <c r="H26" s="92"/>
      <c r="I26" s="96">
        <f>H10/H25</f>
        <v>4.5180000000000007</v>
      </c>
      <c r="J26" s="92"/>
      <c r="K26" s="96">
        <f>J10/J25</f>
        <v>4.75542</v>
      </c>
      <c r="L26" s="92"/>
      <c r="M26" s="96">
        <f>L10/L25</f>
        <v>5.4853218000000004</v>
      </c>
      <c r="N26" s="92"/>
      <c r="O26" s="96">
        <f>N10/N25</f>
        <v>5.3057079720000004</v>
      </c>
      <c r="P26" s="92"/>
      <c r="Q26" s="96">
        <f>P10/P25</f>
        <v>5.3128996228799998</v>
      </c>
      <c r="R26" s="92"/>
      <c r="S26" s="96">
        <f>R10/R25</f>
        <v>5.4992415458502002</v>
      </c>
      <c r="T26" s="92"/>
      <c r="U26" s="96">
        <f>T10/T25</f>
        <v>6.0255684539816583</v>
      </c>
      <c r="V26" s="92"/>
      <c r="W26" s="96">
        <f>V10/V25</f>
        <v>6.43453868887506</v>
      </c>
      <c r="X26" s="92"/>
      <c r="Y26" s="92"/>
    </row>
    <row r="27" spans="1:25" ht="16.5" thickBot="1" x14ac:dyDescent="0.3">
      <c r="A27" s="131"/>
      <c r="B27" s="67"/>
      <c r="C27" s="67"/>
      <c r="D27" s="92"/>
      <c r="E27" s="92"/>
      <c r="F27" s="92"/>
      <c r="G27" s="92"/>
      <c r="H27" s="92"/>
      <c r="I27" s="92"/>
      <c r="J27" s="92"/>
      <c r="K27" s="92"/>
      <c r="L27" s="92"/>
      <c r="M27" s="92"/>
      <c r="N27" s="92"/>
      <c r="O27" s="92"/>
      <c r="P27" s="92"/>
      <c r="Q27" s="92"/>
      <c r="R27" s="92"/>
      <c r="S27" s="92"/>
      <c r="T27" s="92"/>
      <c r="U27" s="92"/>
      <c r="V27" s="92"/>
      <c r="W27" s="92"/>
      <c r="X27" s="92"/>
      <c r="Y27" s="92"/>
    </row>
    <row r="28" spans="1:25" ht="23.25" x14ac:dyDescent="0.35">
      <c r="A28" s="134" t="s">
        <v>267</v>
      </c>
      <c r="B28" s="67"/>
      <c r="C28" s="67"/>
      <c r="D28" s="99">
        <f>SUM(D10:D15,D19:D22)+D25</f>
        <v>14</v>
      </c>
      <c r="E28" s="100"/>
      <c r="F28" s="99">
        <f>SUM(F10:F15,F19:F22)+F25</f>
        <v>14.970000000000002</v>
      </c>
      <c r="G28" s="100"/>
      <c r="H28" s="99">
        <f>SUM(H10:H15,H19:H22)+H25</f>
        <v>15.550599999999999</v>
      </c>
      <c r="I28" s="100"/>
      <c r="J28" s="99">
        <f>SUM(J10:J15,J19:J22)+J25</f>
        <v>16.525314999999999</v>
      </c>
      <c r="K28" s="100"/>
      <c r="L28" s="99">
        <f>SUM(L10:L15,L19:L22)+L25</f>
        <v>17.2974988</v>
      </c>
      <c r="M28" s="100"/>
      <c r="N28" s="99">
        <f>SUM(N10:N15,N19:N22)+N25</f>
        <v>18.554808096999999</v>
      </c>
      <c r="O28" s="100"/>
      <c r="P28" s="99">
        <f>SUM(P10:P15,P19:P22)+P25</f>
        <v>19.656676333630003</v>
      </c>
      <c r="Q28" s="100"/>
      <c r="R28" s="99">
        <f>SUM(R10:R15,R19:R22)+R25</f>
        <v>20.683684434833204</v>
      </c>
      <c r="S28" s="100"/>
      <c r="T28" s="99">
        <f>SUM(T10:T15,T19:T22)+T25</f>
        <v>21.62108052156918</v>
      </c>
      <c r="U28" s="100"/>
      <c r="V28" s="99">
        <f>SUM(V10:V15,V19:V22)+V25</f>
        <v>22.729664485374098</v>
      </c>
      <c r="W28" s="100"/>
      <c r="X28" s="99">
        <f>SUM(X10:X15,X19:X22)+X25</f>
        <v>23.959598561527091</v>
      </c>
      <c r="Y28" s="93"/>
    </row>
    <row r="29" spans="1:25" ht="15.75" x14ac:dyDescent="0.25">
      <c r="A29" s="135" t="s">
        <v>268</v>
      </c>
      <c r="B29" s="67"/>
      <c r="C29" s="67"/>
      <c r="D29" s="92"/>
      <c r="E29" s="92"/>
      <c r="F29" s="92"/>
      <c r="G29" s="92"/>
      <c r="H29" s="92"/>
      <c r="I29" s="92"/>
      <c r="J29" s="92"/>
      <c r="K29" s="92"/>
      <c r="L29" s="92"/>
      <c r="M29" s="92"/>
      <c r="N29" s="92"/>
      <c r="O29" s="92"/>
      <c r="P29" s="92"/>
      <c r="Q29" s="92"/>
      <c r="R29" s="92"/>
      <c r="S29" s="92"/>
      <c r="T29" s="92"/>
      <c r="U29" s="92"/>
      <c r="V29" s="92"/>
      <c r="W29" s="92"/>
      <c r="X29" s="92"/>
      <c r="Y29" s="92"/>
    </row>
    <row r="30" spans="1:25" ht="15.75" x14ac:dyDescent="0.25">
      <c r="A30" s="131" t="s">
        <v>140</v>
      </c>
      <c r="B30" s="67"/>
      <c r="C30" s="67"/>
      <c r="D30" s="92"/>
      <c r="E30" s="95">
        <v>45</v>
      </c>
      <c r="F30" s="95"/>
      <c r="G30" s="95">
        <v>50</v>
      </c>
      <c r="H30" s="95"/>
      <c r="I30" s="95">
        <v>55</v>
      </c>
      <c r="J30" s="95"/>
      <c r="K30" s="95">
        <v>60</v>
      </c>
      <c r="L30" s="95"/>
      <c r="M30" s="95">
        <v>60</v>
      </c>
      <c r="N30" s="95"/>
      <c r="O30" s="95">
        <v>60</v>
      </c>
      <c r="P30" s="95"/>
      <c r="Q30" s="95">
        <v>60</v>
      </c>
      <c r="R30" s="95"/>
      <c r="S30" s="95">
        <v>60</v>
      </c>
      <c r="T30" s="95"/>
      <c r="U30" s="95">
        <v>60</v>
      </c>
      <c r="V30" s="95"/>
      <c r="W30" s="95">
        <v>60</v>
      </c>
      <c r="X30" s="93"/>
      <c r="Y30" s="92" t="s">
        <v>334</v>
      </c>
    </row>
    <row r="31" spans="1:25" ht="15.75" x14ac:dyDescent="0.25">
      <c r="A31" s="131" t="s">
        <v>127</v>
      </c>
      <c r="B31" s="67"/>
      <c r="C31" s="67"/>
      <c r="D31" s="92"/>
      <c r="E31" s="96">
        <f>IF($G$4=4,(D10+D12)*E30/100,IF($G$4=3,(D10+D13)*E30/100,IF($G$4=2,(D10+D14)*E30/100,0)))</f>
        <v>2.25</v>
      </c>
      <c r="F31" s="92"/>
      <c r="G31" s="96">
        <f>IF($G$4=4,(F10+F12)*G30/100,IF($G$4=3,(F10+F13)*G30/100,IF($G$4=2,(F10+F14)*G30/100,0)))</f>
        <v>2.5950000000000002</v>
      </c>
      <c r="H31" s="96"/>
      <c r="I31" s="96">
        <f>IF($G$4=4,(H10+H12)*I30/100,IF($G$4=3,(H10+H13)*I30/100,IF($G$4=2,(H10+H14)*I30/100,0)))</f>
        <v>3.0130650000000001</v>
      </c>
      <c r="J31" s="92"/>
      <c r="K31" s="96">
        <f>IF($G$4=4,(J10+J12)*K30/100,IF($G$4=3,(J10+J13)*K30/100,IF($G$4=2,(J10+J14)*K30/100,0)))</f>
        <v>3.8903759999999998</v>
      </c>
      <c r="L31" s="96"/>
      <c r="M31" s="96">
        <f>IF($G$4=4,(L10+L12)*M30/100,IF($G$4=3,(L10+L13)*M30/100,IF($G$4=2,(L10+L14)*M30/100,0)))</f>
        <v>3.8745753300000003</v>
      </c>
      <c r="N31" s="92"/>
      <c r="O31" s="96">
        <f>IF($G$4=4,(N10+N12)*O30/100,IF($G$4=3,(N10+N13)*O30/100,IF($G$4=2,(N10+N14)*O30/100,0)))</f>
        <v>3.8562589782000005</v>
      </c>
      <c r="P31" s="96"/>
      <c r="Q31" s="96">
        <f>IF($G$4=4,(P10+P12)*Q30/100,IF($G$4=3,(P10+P13)*Q30/100,IF($G$4=2,(P10+P14)*Q30/100,0)))</f>
        <v>3.9689702799929996</v>
      </c>
      <c r="R31" s="92"/>
      <c r="S31" s="96">
        <f>IF($G$4=4,(R10+R12)*S30/100,IF($G$4=3,(R10+R13)*S30/100,IF($G$4=2,(R10+R14)*S30/100,0)))</f>
        <v>4.3082455071661201</v>
      </c>
      <c r="T31" s="96"/>
      <c r="U31" s="96">
        <f>IF($G$4=4,(T10+T12)*U30/100,IF($G$4=3,(T10+T13)*U30/100,IF($G$4=2,(T10+T14)*U30/100,0)))</f>
        <v>4.6199448385267248</v>
      </c>
      <c r="V31" s="92"/>
      <c r="W31" s="96">
        <f>IF($G$4=4,(V10+V12)*W30/100,IF($G$4=3,(V10+V13)*W30/100,IF($G$4=2,(V10+V14)*W30/100,0)))</f>
        <v>4.8605778974517104</v>
      </c>
      <c r="X31" s="96"/>
      <c r="Y31" s="92"/>
    </row>
    <row r="32" spans="1:25" ht="15.75" x14ac:dyDescent="0.25">
      <c r="A32" s="131" t="s">
        <v>141</v>
      </c>
      <c r="B32" s="67"/>
      <c r="C32" s="67"/>
      <c r="D32" s="92"/>
      <c r="E32" s="101">
        <f>E87/D28*100</f>
        <v>3.785714285714286</v>
      </c>
      <c r="F32" s="92"/>
      <c r="G32" s="101">
        <f>G87/F28*100</f>
        <v>2.634602538410153</v>
      </c>
      <c r="H32" s="92"/>
      <c r="I32" s="101">
        <f>I87/H28*100</f>
        <v>2.5744987331678524</v>
      </c>
      <c r="J32" s="92"/>
      <c r="K32" s="101">
        <f>K87/J28*100</f>
        <v>2.65391733833818</v>
      </c>
      <c r="L32" s="92"/>
      <c r="M32" s="101">
        <f>M87/L28*100</f>
        <v>3.1674979679721091</v>
      </c>
      <c r="N32" s="92"/>
      <c r="O32" s="101">
        <f>O87/N28*100</f>
        <v>3.0819980415882609</v>
      </c>
      <c r="P32" s="92"/>
      <c r="Q32" s="101">
        <f>Q87/P28*100</f>
        <v>2.937075427401028</v>
      </c>
      <c r="R32" s="92"/>
      <c r="S32" s="101">
        <f>S87/R28*100</f>
        <v>2.8516847680521025</v>
      </c>
      <c r="T32" s="92"/>
      <c r="U32" s="101">
        <f>U87/T28*100</f>
        <v>2.922645670115954</v>
      </c>
      <c r="V32" s="92"/>
      <c r="W32" s="101">
        <f>W87/V28*100</f>
        <v>2.9798574915836449</v>
      </c>
      <c r="X32" s="96"/>
      <c r="Y32" s="92"/>
    </row>
    <row r="33" spans="1:25" ht="15.75" x14ac:dyDescent="0.25">
      <c r="A33" s="136"/>
      <c r="B33" s="119"/>
      <c r="C33" s="119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53"/>
      <c r="U33" s="53"/>
      <c r="V33" s="53"/>
      <c r="W33" s="53"/>
      <c r="X33" s="96"/>
      <c r="Y33" s="92"/>
    </row>
    <row r="34" spans="1:25" ht="15.75" x14ac:dyDescent="0.25">
      <c r="A34" s="131" t="s">
        <v>128</v>
      </c>
      <c r="B34" s="67"/>
      <c r="C34" s="67"/>
      <c r="D34" s="102"/>
      <c r="E34" s="103">
        <f>E108+E114+E120+E123</f>
        <v>1125</v>
      </c>
      <c r="F34" s="103"/>
      <c r="G34" s="103">
        <f>G108+G114+G120+G123</f>
        <v>2687.4</v>
      </c>
      <c r="H34" s="103"/>
      <c r="I34" s="103">
        <f>I108+I114+I120+I123</f>
        <v>2706.6779999999999</v>
      </c>
      <c r="J34" s="103"/>
      <c r="K34" s="103">
        <f>K108+K114+K120+K123</f>
        <v>4468.8563999999997</v>
      </c>
      <c r="L34" s="103"/>
      <c r="M34" s="103">
        <f>M108+M114+M120+M123</f>
        <v>3356.8511399999998</v>
      </c>
      <c r="N34" s="103"/>
      <c r="O34" s="103">
        <f>O108+O114+O120+O123</f>
        <v>3565.3593636000005</v>
      </c>
      <c r="P34" s="103"/>
      <c r="Q34" s="103">
        <f>Q108+Q114+Q120+Q123</f>
        <v>3885.4793719079998</v>
      </c>
      <c r="R34" s="103"/>
      <c r="S34" s="103">
        <f>S108+S114+S120+S123</f>
        <v>4608.62749741266</v>
      </c>
      <c r="T34" s="103"/>
      <c r="U34" s="103">
        <f>U108+U114+U120+U123</f>
        <v>4754.5082501985062</v>
      </c>
      <c r="V34" s="103"/>
      <c r="W34" s="103">
        <f>W108+W114+W120+W123</f>
        <v>4274.9138298898961</v>
      </c>
      <c r="X34" s="92"/>
      <c r="Y34" s="92"/>
    </row>
    <row r="35" spans="1:25" ht="15.75" x14ac:dyDescent="0.25">
      <c r="A35" s="131" t="s">
        <v>142</v>
      </c>
      <c r="B35" s="67"/>
      <c r="C35" s="67"/>
      <c r="D35" s="92"/>
      <c r="E35" s="96">
        <f>E104+E116+E110+E122</f>
        <v>0.75</v>
      </c>
      <c r="F35" s="92"/>
      <c r="G35" s="96">
        <f>G104+G116+G110+G122</f>
        <v>1.62</v>
      </c>
      <c r="H35" s="92"/>
      <c r="I35" s="96">
        <f>I104+I116+I110+I122</f>
        <v>1.6379999999999999</v>
      </c>
      <c r="J35" s="92"/>
      <c r="K35" s="96">
        <f>K104+K116+K110+K122</f>
        <v>2.679624</v>
      </c>
      <c r="L35" s="92"/>
      <c r="M35" s="96">
        <f>M104+M116+M110+M122</f>
        <v>2.0693681100000001</v>
      </c>
      <c r="N35" s="92"/>
      <c r="O35" s="96">
        <f>O104+O116+O110+O122</f>
        <v>2.1825319194000001</v>
      </c>
      <c r="P35" s="92"/>
      <c r="Q35" s="96">
        <f>Q104+Q116+Q110+Q122</f>
        <v>2.3646307683509997</v>
      </c>
      <c r="R35" s="92"/>
      <c r="S35" s="96">
        <f>S104+S116+S110+S122</f>
        <v>2.7810159419300398</v>
      </c>
      <c r="T35" s="92"/>
      <c r="U35" s="96">
        <f>U104+U116+U110+U122</f>
        <v>2.8794533010258823</v>
      </c>
      <c r="V35" s="92"/>
      <c r="W35" s="96">
        <f>W104+W116+W110+W122</f>
        <v>2.9533322113194691</v>
      </c>
      <c r="X35" s="104"/>
      <c r="Y35" s="92"/>
    </row>
    <row r="36" spans="1:25" ht="23.25" x14ac:dyDescent="0.35">
      <c r="A36" s="134"/>
      <c r="B36" s="67"/>
      <c r="C36" s="67"/>
      <c r="D36" s="92"/>
      <c r="E36" s="96"/>
      <c r="F36" s="92"/>
      <c r="G36" s="96"/>
      <c r="H36" s="92"/>
      <c r="I36" s="96"/>
      <c r="J36" s="92"/>
      <c r="K36" s="96"/>
      <c r="L36" s="92"/>
      <c r="M36" s="96"/>
      <c r="N36" s="92"/>
      <c r="O36" s="96"/>
      <c r="P36" s="92"/>
      <c r="Q36" s="96"/>
      <c r="R36" s="92"/>
      <c r="S36" s="96"/>
      <c r="T36" s="92"/>
      <c r="U36" s="96"/>
      <c r="V36" s="92"/>
      <c r="W36" s="96"/>
      <c r="X36" s="104"/>
      <c r="Y36" s="92"/>
    </row>
    <row r="37" spans="1:25" ht="15.75" x14ac:dyDescent="0.25">
      <c r="A37" s="137"/>
      <c r="B37" s="118"/>
      <c r="C37" s="118"/>
      <c r="D37" s="137"/>
      <c r="E37" s="137"/>
      <c r="F37" s="137"/>
      <c r="G37" s="137"/>
      <c r="H37" s="137"/>
      <c r="I37" s="137"/>
      <c r="J37" s="137"/>
      <c r="K37" s="137"/>
      <c r="L37" s="137"/>
      <c r="M37" s="137"/>
      <c r="N37" s="137"/>
      <c r="O37" s="137"/>
      <c r="P37" s="137"/>
      <c r="Q37" s="137"/>
      <c r="R37" s="137"/>
      <c r="S37" s="137"/>
      <c r="T37" s="137"/>
      <c r="U37" s="137"/>
      <c r="V37" s="137"/>
      <c r="W37" s="137"/>
      <c r="X37" s="92"/>
      <c r="Y37" s="92"/>
    </row>
    <row r="38" spans="1:25" ht="23.25" x14ac:dyDescent="0.35">
      <c r="A38" s="138" t="s">
        <v>180</v>
      </c>
      <c r="B38" s="130"/>
      <c r="C38" s="130"/>
      <c r="D38" s="139"/>
      <c r="E38" s="139"/>
      <c r="F38" s="139"/>
      <c r="G38" s="139"/>
      <c r="H38" s="139"/>
      <c r="I38" s="139"/>
      <c r="J38" s="139"/>
      <c r="K38" s="139"/>
      <c r="L38" s="139"/>
      <c r="M38" s="139"/>
      <c r="N38" s="139"/>
      <c r="O38" s="139"/>
      <c r="P38" s="139"/>
      <c r="Q38" s="139"/>
      <c r="R38" s="139"/>
      <c r="S38" s="139"/>
      <c r="T38" s="139"/>
      <c r="U38" s="139"/>
      <c r="V38" s="139"/>
      <c r="W38" s="139"/>
      <c r="X38" s="92"/>
      <c r="Y38" s="92"/>
    </row>
    <row r="39" spans="1:25" ht="15.75" x14ac:dyDescent="0.25">
      <c r="A39" s="131"/>
      <c r="B39" s="140"/>
      <c r="C39" s="76"/>
      <c r="D39" s="92"/>
      <c r="E39" s="92"/>
      <c r="F39" s="92"/>
      <c r="G39" s="92"/>
      <c r="H39" s="92"/>
      <c r="I39" s="92"/>
      <c r="J39" s="92"/>
      <c r="K39" s="92"/>
      <c r="L39" s="92"/>
      <c r="M39" s="92"/>
      <c r="N39" s="92"/>
      <c r="O39" s="92"/>
      <c r="P39" s="92"/>
      <c r="Q39" s="92"/>
      <c r="R39" s="92"/>
      <c r="S39" s="92"/>
      <c r="T39" s="92"/>
      <c r="U39" s="92"/>
      <c r="V39" s="92"/>
      <c r="W39" s="92"/>
      <c r="X39" s="92"/>
      <c r="Y39" s="92"/>
    </row>
    <row r="40" spans="1:25" ht="15.75" x14ac:dyDescent="0.25">
      <c r="A40" s="131" t="s">
        <v>125</v>
      </c>
      <c r="B40" s="65"/>
      <c r="C40" s="70"/>
      <c r="D40" s="92"/>
      <c r="E40" s="95">
        <v>0</v>
      </c>
      <c r="F40" s="95"/>
      <c r="G40" s="95">
        <v>0</v>
      </c>
      <c r="H40" s="95"/>
      <c r="I40" s="95">
        <v>0</v>
      </c>
      <c r="J40" s="95"/>
      <c r="K40" s="95">
        <v>0</v>
      </c>
      <c r="L40" s="95"/>
      <c r="M40" s="95">
        <v>0</v>
      </c>
      <c r="N40" s="95"/>
      <c r="O40" s="95">
        <v>0</v>
      </c>
      <c r="P40" s="95"/>
      <c r="Q40" s="95">
        <v>0</v>
      </c>
      <c r="R40" s="95"/>
      <c r="S40" s="95">
        <v>0</v>
      </c>
      <c r="T40" s="95"/>
      <c r="U40" s="95">
        <v>0</v>
      </c>
      <c r="V40" s="95"/>
      <c r="W40" s="95">
        <v>0</v>
      </c>
      <c r="X40" s="92"/>
      <c r="Y40" s="92"/>
    </row>
    <row r="41" spans="1:25" ht="15.75" x14ac:dyDescent="0.25">
      <c r="A41" s="131" t="s">
        <v>121</v>
      </c>
      <c r="B41" s="65"/>
      <c r="C41" s="70"/>
      <c r="D41" s="92"/>
      <c r="E41" s="95">
        <v>0</v>
      </c>
      <c r="F41" s="95"/>
      <c r="G41" s="95">
        <v>0</v>
      </c>
      <c r="H41" s="95"/>
      <c r="I41" s="95">
        <v>0</v>
      </c>
      <c r="J41" s="95"/>
      <c r="K41" s="95">
        <v>0</v>
      </c>
      <c r="L41" s="95"/>
      <c r="M41" s="95">
        <v>0</v>
      </c>
      <c r="N41" s="95"/>
      <c r="O41" s="95">
        <v>0</v>
      </c>
      <c r="P41" s="95"/>
      <c r="Q41" s="95">
        <v>0</v>
      </c>
      <c r="R41" s="95"/>
      <c r="S41" s="95">
        <v>0</v>
      </c>
      <c r="T41" s="95"/>
      <c r="U41" s="95">
        <v>0</v>
      </c>
      <c r="V41" s="95"/>
      <c r="W41" s="95">
        <v>0</v>
      </c>
      <c r="X41" s="92"/>
      <c r="Y41" s="92"/>
    </row>
    <row r="42" spans="1:25" ht="15.75" x14ac:dyDescent="0.25">
      <c r="A42" s="131" t="s">
        <v>122</v>
      </c>
      <c r="B42" s="65"/>
      <c r="C42" s="70"/>
      <c r="D42" s="92"/>
      <c r="E42" s="95">
        <v>0</v>
      </c>
      <c r="F42" s="95"/>
      <c r="G42" s="95">
        <v>0</v>
      </c>
      <c r="H42" s="95"/>
      <c r="I42" s="95">
        <v>0</v>
      </c>
      <c r="J42" s="95"/>
      <c r="K42" s="95">
        <v>0</v>
      </c>
      <c r="L42" s="95"/>
      <c r="M42" s="95">
        <v>0</v>
      </c>
      <c r="N42" s="95"/>
      <c r="O42" s="95">
        <v>0</v>
      </c>
      <c r="P42" s="95"/>
      <c r="Q42" s="95">
        <v>0</v>
      </c>
      <c r="R42" s="95"/>
      <c r="S42" s="95">
        <v>0</v>
      </c>
      <c r="T42" s="95"/>
      <c r="U42" s="95">
        <v>0</v>
      </c>
      <c r="V42" s="95"/>
      <c r="W42" s="95">
        <v>0</v>
      </c>
      <c r="X42" s="92"/>
      <c r="Y42" s="92"/>
    </row>
    <row r="43" spans="1:25" ht="15.75" x14ac:dyDescent="0.25">
      <c r="A43" s="131" t="s">
        <v>123</v>
      </c>
      <c r="B43" s="65"/>
      <c r="C43" s="70"/>
      <c r="D43" s="92"/>
      <c r="E43" s="95">
        <v>0</v>
      </c>
      <c r="F43" s="95"/>
      <c r="G43" s="95">
        <v>0</v>
      </c>
      <c r="H43" s="95"/>
      <c r="I43" s="95">
        <v>0</v>
      </c>
      <c r="J43" s="95"/>
      <c r="K43" s="95">
        <v>0</v>
      </c>
      <c r="L43" s="95"/>
      <c r="M43" s="95">
        <v>0</v>
      </c>
      <c r="N43" s="95"/>
      <c r="O43" s="95">
        <v>0</v>
      </c>
      <c r="P43" s="95"/>
      <c r="Q43" s="95">
        <v>0</v>
      </c>
      <c r="R43" s="95"/>
      <c r="S43" s="95">
        <v>0</v>
      </c>
      <c r="T43" s="95"/>
      <c r="U43" s="95">
        <v>0</v>
      </c>
      <c r="V43" s="95"/>
      <c r="W43" s="95">
        <v>0</v>
      </c>
      <c r="X43" s="92"/>
      <c r="Y43" s="92"/>
    </row>
    <row r="44" spans="1:25" ht="15.75" x14ac:dyDescent="0.25">
      <c r="A44" s="131" t="s">
        <v>124</v>
      </c>
      <c r="B44" s="65"/>
      <c r="C44" s="70"/>
      <c r="D44" s="92"/>
      <c r="E44" s="95">
        <v>0</v>
      </c>
      <c r="F44" s="95"/>
      <c r="G44" s="95">
        <v>0</v>
      </c>
      <c r="H44" s="95"/>
      <c r="I44" s="95">
        <v>0</v>
      </c>
      <c r="J44" s="95"/>
      <c r="K44" s="95">
        <v>0</v>
      </c>
      <c r="L44" s="95"/>
      <c r="M44" s="95">
        <v>0</v>
      </c>
      <c r="N44" s="95"/>
      <c r="O44" s="95">
        <v>0</v>
      </c>
      <c r="P44" s="95"/>
      <c r="Q44" s="95">
        <v>0</v>
      </c>
      <c r="R44" s="95"/>
      <c r="S44" s="95">
        <v>0</v>
      </c>
      <c r="T44" s="95"/>
      <c r="U44" s="95">
        <v>0</v>
      </c>
      <c r="V44" s="95"/>
      <c r="W44" s="95">
        <v>0</v>
      </c>
      <c r="X44" s="92"/>
      <c r="Y44" s="92"/>
    </row>
    <row r="45" spans="1:25" ht="15.75" x14ac:dyDescent="0.25">
      <c r="A45" s="131"/>
      <c r="B45" s="65"/>
      <c r="C45" s="70"/>
      <c r="D45" s="92"/>
      <c r="E45" s="95"/>
      <c r="F45" s="95"/>
      <c r="G45" s="95"/>
      <c r="H45" s="95"/>
      <c r="I45" s="95"/>
      <c r="J45" s="95"/>
      <c r="K45" s="95"/>
      <c r="L45" s="95"/>
      <c r="M45" s="95"/>
      <c r="N45" s="95"/>
      <c r="O45" s="95"/>
      <c r="P45" s="95"/>
      <c r="Q45" s="95"/>
      <c r="R45" s="95"/>
      <c r="S45" s="95"/>
      <c r="T45" s="95"/>
      <c r="U45" s="95"/>
      <c r="V45" s="95"/>
      <c r="W45" s="95"/>
      <c r="X45" s="92"/>
      <c r="Y45" s="92"/>
    </row>
    <row r="46" spans="1:25" ht="15.75" x14ac:dyDescent="0.25">
      <c r="A46" s="131" t="s">
        <v>116</v>
      </c>
      <c r="B46" s="65"/>
      <c r="C46" s="70"/>
      <c r="D46" s="92"/>
      <c r="E46" s="95">
        <v>0</v>
      </c>
      <c r="F46" s="95"/>
      <c r="G46" s="95">
        <v>0</v>
      </c>
      <c r="H46" s="95"/>
      <c r="I46" s="95">
        <v>0</v>
      </c>
      <c r="J46" s="95"/>
      <c r="K46" s="95">
        <v>0</v>
      </c>
      <c r="L46" s="95"/>
      <c r="M46" s="95">
        <v>0</v>
      </c>
      <c r="N46" s="95"/>
      <c r="O46" s="95">
        <v>0</v>
      </c>
      <c r="P46" s="95"/>
      <c r="Q46" s="95">
        <v>0</v>
      </c>
      <c r="R46" s="95"/>
      <c r="S46" s="95">
        <v>0</v>
      </c>
      <c r="T46" s="95"/>
      <c r="U46" s="95">
        <v>0</v>
      </c>
      <c r="V46" s="95"/>
      <c r="W46" s="95">
        <v>0</v>
      </c>
      <c r="X46" s="92"/>
      <c r="Y46" s="92"/>
    </row>
    <row r="47" spans="1:25" ht="15.75" x14ac:dyDescent="0.25">
      <c r="A47" s="131" t="s">
        <v>117</v>
      </c>
      <c r="B47" s="65"/>
      <c r="C47" s="70"/>
      <c r="D47" s="92"/>
      <c r="E47" s="95">
        <v>0</v>
      </c>
      <c r="F47" s="95"/>
      <c r="G47" s="95">
        <v>0</v>
      </c>
      <c r="H47" s="95"/>
      <c r="I47" s="95">
        <v>0</v>
      </c>
      <c r="J47" s="95"/>
      <c r="K47" s="95">
        <v>0</v>
      </c>
      <c r="L47" s="95"/>
      <c r="M47" s="95">
        <v>0</v>
      </c>
      <c r="N47" s="95"/>
      <c r="O47" s="95">
        <v>0</v>
      </c>
      <c r="P47" s="95"/>
      <c r="Q47" s="95">
        <v>0</v>
      </c>
      <c r="R47" s="95"/>
      <c r="S47" s="95">
        <v>0</v>
      </c>
      <c r="T47" s="95"/>
      <c r="U47" s="95">
        <v>0</v>
      </c>
      <c r="V47" s="95"/>
      <c r="W47" s="95">
        <v>0</v>
      </c>
      <c r="X47" s="92"/>
      <c r="Y47" s="92"/>
    </row>
    <row r="48" spans="1:25" ht="15.75" x14ac:dyDescent="0.25">
      <c r="A48" s="131" t="s">
        <v>118</v>
      </c>
      <c r="B48" s="65"/>
      <c r="C48" s="70"/>
      <c r="D48" s="92"/>
      <c r="E48" s="95">
        <v>0</v>
      </c>
      <c r="F48" s="95"/>
      <c r="G48" s="95">
        <v>0</v>
      </c>
      <c r="H48" s="95"/>
      <c r="I48" s="95">
        <v>0</v>
      </c>
      <c r="J48" s="95"/>
      <c r="K48" s="95">
        <v>0</v>
      </c>
      <c r="L48" s="95"/>
      <c r="M48" s="95">
        <v>0</v>
      </c>
      <c r="N48" s="95"/>
      <c r="O48" s="95">
        <v>0</v>
      </c>
      <c r="P48" s="95"/>
      <c r="Q48" s="95">
        <v>0</v>
      </c>
      <c r="R48" s="95"/>
      <c r="S48" s="95">
        <v>0</v>
      </c>
      <c r="T48" s="95"/>
      <c r="U48" s="95">
        <v>0</v>
      </c>
      <c r="V48" s="95"/>
      <c r="W48" s="95">
        <v>0</v>
      </c>
      <c r="X48" s="92"/>
      <c r="Y48" s="92"/>
    </row>
    <row r="49" spans="1:25" ht="15.75" x14ac:dyDescent="0.25">
      <c r="A49" s="131" t="s">
        <v>119</v>
      </c>
      <c r="B49" s="65"/>
      <c r="C49" s="70"/>
      <c r="D49" s="92"/>
      <c r="E49" s="95">
        <v>0</v>
      </c>
      <c r="F49" s="95"/>
      <c r="G49" s="95">
        <v>0</v>
      </c>
      <c r="H49" s="95"/>
      <c r="I49" s="95">
        <v>0</v>
      </c>
      <c r="J49" s="95"/>
      <c r="K49" s="95">
        <v>0</v>
      </c>
      <c r="L49" s="95"/>
      <c r="M49" s="95">
        <v>0</v>
      </c>
      <c r="N49" s="95"/>
      <c r="O49" s="95">
        <v>0</v>
      </c>
      <c r="P49" s="95"/>
      <c r="Q49" s="95">
        <v>0</v>
      </c>
      <c r="R49" s="95"/>
      <c r="S49" s="95">
        <v>0</v>
      </c>
      <c r="T49" s="95"/>
      <c r="U49" s="95">
        <v>0</v>
      </c>
      <c r="V49" s="95"/>
      <c r="W49" s="95">
        <v>0</v>
      </c>
      <c r="X49" s="92"/>
      <c r="Y49" s="92"/>
    </row>
    <row r="50" spans="1:25" ht="15.75" x14ac:dyDescent="0.25">
      <c r="A50" s="131" t="s">
        <v>120</v>
      </c>
      <c r="B50" s="65"/>
      <c r="C50" s="70"/>
      <c r="D50" s="92"/>
      <c r="E50" s="95">
        <v>0</v>
      </c>
      <c r="F50" s="95"/>
      <c r="G50" s="95">
        <v>0</v>
      </c>
      <c r="H50" s="95"/>
      <c r="I50" s="95">
        <v>0</v>
      </c>
      <c r="J50" s="95"/>
      <c r="K50" s="95">
        <v>0</v>
      </c>
      <c r="L50" s="95"/>
      <c r="M50" s="95">
        <v>0</v>
      </c>
      <c r="N50" s="95"/>
      <c r="O50" s="95">
        <v>0</v>
      </c>
      <c r="P50" s="95"/>
      <c r="Q50" s="95">
        <v>0</v>
      </c>
      <c r="R50" s="95"/>
      <c r="S50" s="95">
        <v>0</v>
      </c>
      <c r="T50" s="95"/>
      <c r="U50" s="95">
        <v>0</v>
      </c>
      <c r="V50" s="95"/>
      <c r="W50" s="95">
        <v>0</v>
      </c>
      <c r="X50" s="92"/>
      <c r="Y50" s="92"/>
    </row>
    <row r="51" spans="1:25" ht="15.75" x14ac:dyDescent="0.25">
      <c r="A51" s="92"/>
      <c r="B51" s="68"/>
      <c r="C51" s="68"/>
      <c r="D51" s="92"/>
      <c r="E51" s="92"/>
      <c r="F51" s="92"/>
      <c r="G51" s="92"/>
      <c r="H51" s="92"/>
      <c r="I51" s="92"/>
      <c r="J51" s="92"/>
      <c r="K51" s="92"/>
      <c r="L51" s="92"/>
      <c r="M51" s="92"/>
      <c r="N51" s="92"/>
      <c r="O51" s="92"/>
      <c r="P51" s="92"/>
      <c r="Q51" s="92"/>
      <c r="R51" s="92"/>
      <c r="S51" s="92"/>
      <c r="T51" s="92"/>
      <c r="U51" s="92"/>
      <c r="V51" s="92"/>
      <c r="W51" s="92"/>
      <c r="X51" s="92"/>
      <c r="Y51" s="92"/>
    </row>
    <row r="52" spans="1:25" ht="15.75" x14ac:dyDescent="0.25">
      <c r="A52" s="92"/>
      <c r="B52" s="68"/>
      <c r="C52" s="68"/>
      <c r="D52" s="92"/>
      <c r="E52" s="92"/>
      <c r="F52" s="92"/>
      <c r="G52" s="92"/>
      <c r="H52" s="92"/>
      <c r="I52" s="92"/>
      <c r="J52" s="92"/>
      <c r="K52" s="92"/>
      <c r="L52" s="92"/>
      <c r="M52" s="92"/>
      <c r="N52" s="92"/>
      <c r="O52" s="92"/>
      <c r="P52" s="92"/>
      <c r="Q52" s="92"/>
      <c r="R52" s="92"/>
      <c r="S52" s="92"/>
      <c r="T52" s="92"/>
      <c r="U52" s="92"/>
      <c r="V52" s="92"/>
      <c r="W52" s="92"/>
      <c r="X52" s="92"/>
      <c r="Y52" s="92"/>
    </row>
    <row r="53" spans="1:25" ht="15.75" x14ac:dyDescent="0.25">
      <c r="A53" s="139"/>
      <c r="B53" s="130"/>
      <c r="C53" s="130"/>
      <c r="D53" s="139"/>
      <c r="E53" s="139"/>
      <c r="F53" s="139"/>
      <c r="G53" s="139"/>
      <c r="H53" s="139"/>
      <c r="I53" s="139"/>
      <c r="J53" s="139"/>
      <c r="K53" s="139"/>
      <c r="L53" s="139"/>
      <c r="M53" s="139"/>
      <c r="N53" s="139"/>
      <c r="O53" s="139"/>
      <c r="P53" s="139"/>
      <c r="Q53" s="139"/>
      <c r="R53" s="139"/>
      <c r="S53" s="139"/>
      <c r="T53" s="139"/>
      <c r="U53" s="139"/>
      <c r="V53" s="139"/>
      <c r="W53" s="139"/>
      <c r="X53" s="92"/>
      <c r="Y53" s="92"/>
    </row>
    <row r="54" spans="1:25" ht="23.25" x14ac:dyDescent="0.35">
      <c r="A54" s="138" t="s">
        <v>143</v>
      </c>
      <c r="B54" s="130"/>
      <c r="C54" s="130"/>
      <c r="D54" s="139"/>
      <c r="E54" s="139"/>
      <c r="F54" s="139"/>
      <c r="G54" s="139"/>
      <c r="H54" s="139"/>
      <c r="I54" s="139"/>
      <c r="J54" s="139"/>
      <c r="K54" s="139"/>
      <c r="L54" s="139"/>
      <c r="M54" s="139"/>
      <c r="N54" s="139"/>
      <c r="O54" s="139"/>
      <c r="P54" s="139"/>
      <c r="Q54" s="139"/>
      <c r="R54" s="139"/>
      <c r="S54" s="139"/>
      <c r="T54" s="139"/>
      <c r="U54" s="139"/>
      <c r="V54" s="139"/>
      <c r="W54" s="139"/>
      <c r="X54" s="92"/>
      <c r="Y54" s="92"/>
    </row>
    <row r="55" spans="1:25" ht="15.75" x14ac:dyDescent="0.25">
      <c r="A55" s="131" t="s">
        <v>144</v>
      </c>
      <c r="B55" s="67"/>
      <c r="C55" s="67"/>
      <c r="D55" s="92"/>
      <c r="E55" s="92"/>
      <c r="F55" s="92"/>
      <c r="G55" s="92"/>
      <c r="H55" s="92"/>
      <c r="I55" s="92"/>
      <c r="J55" s="92"/>
      <c r="K55" s="92"/>
      <c r="L55" s="92"/>
      <c r="M55" s="92"/>
      <c r="N55" s="92"/>
      <c r="O55" s="92"/>
      <c r="P55" s="92"/>
      <c r="Q55" s="92"/>
      <c r="R55" s="92"/>
      <c r="S55" s="92"/>
      <c r="T55" s="92"/>
      <c r="U55" s="92"/>
      <c r="V55" s="92"/>
      <c r="W55" s="92"/>
      <c r="X55" s="92"/>
      <c r="Y55" s="96"/>
    </row>
    <row r="56" spans="1:25" ht="15.75" x14ac:dyDescent="0.25">
      <c r="A56" s="131"/>
      <c r="B56" s="67"/>
      <c r="C56" s="67"/>
      <c r="D56" s="92"/>
      <c r="E56" s="92"/>
      <c r="F56" s="92"/>
      <c r="G56" s="92"/>
      <c r="H56" s="92"/>
      <c r="I56" s="92"/>
      <c r="J56" s="92"/>
      <c r="K56" s="92"/>
      <c r="L56" s="92"/>
      <c r="M56" s="92"/>
      <c r="N56" s="92"/>
      <c r="O56" s="92"/>
      <c r="P56" s="92"/>
      <c r="Q56" s="92"/>
      <c r="R56" s="92"/>
      <c r="S56" s="92"/>
      <c r="T56" s="92"/>
      <c r="U56" s="92"/>
      <c r="V56" s="92"/>
      <c r="W56" s="92"/>
      <c r="X56" s="92"/>
      <c r="Y56" s="92"/>
    </row>
    <row r="57" spans="1:25" ht="15.75" x14ac:dyDescent="0.25">
      <c r="A57" s="131" t="s">
        <v>129</v>
      </c>
      <c r="B57" s="67"/>
      <c r="C57" s="65">
        <v>1.2</v>
      </c>
      <c r="D57" s="96">
        <f>(D10+D25)*$C57</f>
        <v>7.1999999999999993</v>
      </c>
      <c r="E57" s="92"/>
      <c r="F57" s="96">
        <f>(F10+F25)*$C57</f>
        <v>6.24</v>
      </c>
      <c r="G57" s="92"/>
      <c r="H57" s="96">
        <f>(H10+H25)*$C57</f>
        <v>6.6216000000000008</v>
      </c>
      <c r="I57" s="92"/>
      <c r="J57" s="96">
        <f>(J10+J25)*$C57</f>
        <v>6.906504</v>
      </c>
      <c r="K57" s="92"/>
      <c r="L57" s="96">
        <f>(L10+L25)*$C57</f>
        <v>7.7823861599999997</v>
      </c>
      <c r="M57" s="92"/>
      <c r="N57" s="96">
        <f>(N10+N25)*$C57</f>
        <v>7.5668495664000002</v>
      </c>
      <c r="O57" s="92"/>
      <c r="P57" s="96">
        <f>(P10+P25)*$C57</f>
        <v>7.5754795474559993</v>
      </c>
      <c r="Q57" s="92"/>
      <c r="R57" s="96">
        <f>(R10+R25)*$C57</f>
        <v>7.7990898550202399</v>
      </c>
      <c r="S57" s="92"/>
      <c r="T57" s="96">
        <f>(T10+T25)*$C57</f>
        <v>8.4306821447779896</v>
      </c>
      <c r="U57" s="92"/>
      <c r="V57" s="96">
        <f>(V10+V25)*$C57</f>
        <v>8.9214464266500713</v>
      </c>
      <c r="W57" s="92"/>
      <c r="X57" s="92"/>
      <c r="Y57" s="92"/>
    </row>
    <row r="58" spans="1:25" ht="15.75" x14ac:dyDescent="0.25">
      <c r="A58" s="131" t="s">
        <v>130</v>
      </c>
      <c r="B58" s="67"/>
      <c r="C58" s="65">
        <v>0.8</v>
      </c>
      <c r="D58" s="96">
        <f>(D12+D19)*$C58</f>
        <v>0</v>
      </c>
      <c r="E58" s="92"/>
      <c r="F58" s="96">
        <f>(F12+F19)*$C58</f>
        <v>1.5840000000000001</v>
      </c>
      <c r="G58" s="92"/>
      <c r="H58" s="96">
        <f>(H12+H19)*$C58</f>
        <v>1.5364800000000001</v>
      </c>
      <c r="I58" s="92"/>
      <c r="J58" s="96">
        <f>(J12+J19)*$C58</f>
        <v>2.7656640000000001</v>
      </c>
      <c r="K58" s="92"/>
      <c r="L58" s="96">
        <f>(L12+L19)*$C58</f>
        <v>1.5556859999999999</v>
      </c>
      <c r="M58" s="92"/>
      <c r="N58" s="96">
        <f>(N12+N19)*$C58</f>
        <v>1.7942245200000002</v>
      </c>
      <c r="O58" s="92"/>
      <c r="P58" s="96">
        <f>(P12+P19)*$C58</f>
        <v>2.08328135004</v>
      </c>
      <c r="Q58" s="92"/>
      <c r="R58" s="96">
        <f>(R12+R19)*$C58</f>
        <v>2.689868212416</v>
      </c>
      <c r="S58" s="92"/>
      <c r="T58" s="96">
        <f>(T12+T19)*$C58</f>
        <v>2.6789433763672807</v>
      </c>
      <c r="U58" s="92"/>
      <c r="V58" s="96">
        <f>(V12+V19)*$C58</f>
        <v>2.666279157671132</v>
      </c>
      <c r="W58" s="92"/>
      <c r="X58" s="92"/>
      <c r="Y58" s="93"/>
    </row>
    <row r="59" spans="1:25" ht="15.75" x14ac:dyDescent="0.25">
      <c r="A59" s="131" t="s">
        <v>131</v>
      </c>
      <c r="B59" s="67"/>
      <c r="C59" s="65">
        <v>0.6</v>
      </c>
      <c r="D59" s="96">
        <f>(D13+D20)*$C59</f>
        <v>1.2</v>
      </c>
      <c r="E59" s="92"/>
      <c r="F59" s="96">
        <f>(F13+F20)*$C59</f>
        <v>1.1639999999999999</v>
      </c>
      <c r="G59" s="92"/>
      <c r="H59" s="96">
        <f>(H13+H20)*$C59</f>
        <v>2.0951999999999997</v>
      </c>
      <c r="I59" s="92"/>
      <c r="J59" s="96">
        <f>(J13+J20)*$C59</f>
        <v>1.1785499999999998</v>
      </c>
      <c r="K59" s="92"/>
      <c r="L59" s="96">
        <f>(L13+L20)*$C59</f>
        <v>1.3592610000000001</v>
      </c>
      <c r="M59" s="92"/>
      <c r="N59" s="96">
        <f>(N13+N20)*$C59</f>
        <v>1.578243447</v>
      </c>
      <c r="O59" s="92"/>
      <c r="P59" s="96">
        <f>(P13+P20)*$C59</f>
        <v>2.0377789487999998</v>
      </c>
      <c r="Q59" s="92"/>
      <c r="R59" s="96">
        <f>(R13+R20)*$C59</f>
        <v>2.0295025578540002</v>
      </c>
      <c r="S59" s="92"/>
      <c r="T59" s="96">
        <f>(T13+T20)*$C59</f>
        <v>2.0199084527811606</v>
      </c>
      <c r="U59" s="92"/>
      <c r="V59" s="96">
        <f>(V13+V20)*$C59</f>
        <v>2.0789466326603332</v>
      </c>
      <c r="W59" s="92"/>
      <c r="X59" s="92"/>
      <c r="Y59" s="93"/>
    </row>
    <row r="60" spans="1:25" ht="15.75" x14ac:dyDescent="0.25">
      <c r="A60" s="131" t="s">
        <v>132</v>
      </c>
      <c r="B60" s="67"/>
      <c r="C60" s="65">
        <v>0.4</v>
      </c>
      <c r="D60" s="96">
        <f>(D14+D21)*$C60</f>
        <v>0.8</v>
      </c>
      <c r="E60" s="92"/>
      <c r="F60" s="96">
        <f>(F14+F21)*$C60</f>
        <v>1.4400000000000002</v>
      </c>
      <c r="G60" s="92"/>
      <c r="H60" s="96">
        <f>(H14+H21)*$C60</f>
        <v>0.81</v>
      </c>
      <c r="I60" s="92"/>
      <c r="J60" s="96">
        <f>(J14+J21)*$C60</f>
        <v>0.93420000000000014</v>
      </c>
      <c r="K60" s="92"/>
      <c r="L60" s="96">
        <f>(L14+L21)*$C60</f>
        <v>1.0847034000000002</v>
      </c>
      <c r="M60" s="92"/>
      <c r="N60" s="96">
        <f>(N14+N21)*$C60</f>
        <v>1.4005353600000001</v>
      </c>
      <c r="O60" s="92"/>
      <c r="P60" s="96">
        <f>(P14+P21)*$C60</f>
        <v>1.3948471188000002</v>
      </c>
      <c r="Q60" s="92"/>
      <c r="R60" s="96">
        <f>(R14+R21)*$C60</f>
        <v>1.3882532321520005</v>
      </c>
      <c r="S60" s="92"/>
      <c r="T60" s="96">
        <f>(T14+T21)*$C60</f>
        <v>1.4288293007974799</v>
      </c>
      <c r="U60" s="92"/>
      <c r="V60" s="96">
        <f>(V14+V21)*$C60</f>
        <v>1.5509683825798033</v>
      </c>
      <c r="W60" s="92"/>
      <c r="X60" s="92"/>
      <c r="Y60" s="92"/>
    </row>
    <row r="61" spans="1:25" ht="15.75" x14ac:dyDescent="0.25">
      <c r="A61" s="131" t="s">
        <v>146</v>
      </c>
      <c r="B61" s="67"/>
      <c r="C61" s="67"/>
      <c r="D61" s="105">
        <f>SUM(D57:D60)</f>
        <v>9.1999999999999993</v>
      </c>
      <c r="E61" s="106"/>
      <c r="F61" s="107">
        <f>SUM(F57:F60)</f>
        <v>10.427999999999999</v>
      </c>
      <c r="G61" s="106"/>
      <c r="H61" s="107">
        <f>SUM(H57:H60)</f>
        <v>11.063280000000002</v>
      </c>
      <c r="I61" s="106"/>
      <c r="J61" s="107">
        <f>SUM(J57:J60)</f>
        <v>11.784917999999999</v>
      </c>
      <c r="K61" s="106"/>
      <c r="L61" s="107">
        <f>SUM(L57:L60)</f>
        <v>11.78203656</v>
      </c>
      <c r="M61" s="106"/>
      <c r="N61" s="107">
        <f>SUM(N57:N60)</f>
        <v>12.3398528934</v>
      </c>
      <c r="O61" s="106"/>
      <c r="P61" s="107">
        <f>SUM(P57:P60)</f>
        <v>13.091386965095998</v>
      </c>
      <c r="Q61" s="106"/>
      <c r="R61" s="107">
        <f>SUM(R57:R60)</f>
        <v>13.906713857442242</v>
      </c>
      <c r="S61" s="106"/>
      <c r="T61" s="107">
        <f>SUM(T57:T60)</f>
        <v>14.558363274723911</v>
      </c>
      <c r="U61" s="106"/>
      <c r="V61" s="107">
        <f>SUM(V57:V60)</f>
        <v>15.21764059956134</v>
      </c>
      <c r="W61" s="92"/>
      <c r="X61" s="92"/>
      <c r="Y61" s="92"/>
    </row>
    <row r="62" spans="1:25" ht="15.75" x14ac:dyDescent="0.25">
      <c r="A62" s="131" t="s">
        <v>177</v>
      </c>
      <c r="B62" s="67"/>
      <c r="C62" s="65"/>
      <c r="D62" s="98">
        <v>10</v>
      </c>
      <c r="E62" s="68" t="s">
        <v>340</v>
      </c>
      <c r="F62" s="96"/>
      <c r="G62" s="92"/>
      <c r="H62" s="96"/>
      <c r="I62" s="92"/>
      <c r="J62" s="96"/>
      <c r="K62" s="92"/>
      <c r="L62" s="96"/>
      <c r="M62" s="92"/>
      <c r="N62" s="96"/>
      <c r="O62" s="92"/>
      <c r="P62" s="96"/>
      <c r="Q62" s="92"/>
      <c r="R62" s="96"/>
      <c r="S62" s="92"/>
      <c r="T62" s="96"/>
      <c r="U62" s="92"/>
      <c r="V62" s="96"/>
      <c r="W62" s="92"/>
      <c r="X62" s="92"/>
      <c r="Y62" s="92"/>
    </row>
    <row r="63" spans="1:25" ht="15.75" x14ac:dyDescent="0.25">
      <c r="A63" s="141" t="s">
        <v>147</v>
      </c>
      <c r="B63" s="67"/>
      <c r="C63" s="67"/>
      <c r="D63" s="101">
        <f>+$D62/D61</f>
        <v>1.0869565217391306</v>
      </c>
      <c r="E63" s="92"/>
      <c r="F63" s="101">
        <f>+$D62/F61</f>
        <v>0.95895665515918693</v>
      </c>
      <c r="G63" s="92"/>
      <c r="H63" s="101">
        <f>+$D62/H61</f>
        <v>0.90389107027933835</v>
      </c>
      <c r="I63" s="92"/>
      <c r="J63" s="101">
        <f>+$D62/J61</f>
        <v>0.84854217908007512</v>
      </c>
      <c r="K63" s="92"/>
      <c r="L63" s="101">
        <f>+$D62/L61</f>
        <v>0.84874970036589326</v>
      </c>
      <c r="M63" s="92"/>
      <c r="N63" s="101">
        <f>+$D62/N61</f>
        <v>0.81038243213973193</v>
      </c>
      <c r="O63" s="92"/>
      <c r="P63" s="101">
        <f>+$D62/P61</f>
        <v>0.76386100469429297</v>
      </c>
      <c r="Q63" s="92"/>
      <c r="R63" s="101">
        <f>+$D62/R61</f>
        <v>0.71907713802915807</v>
      </c>
      <c r="S63" s="92"/>
      <c r="T63" s="101">
        <f>+$D62/T61</f>
        <v>0.68689040184633277</v>
      </c>
      <c r="U63" s="92"/>
      <c r="V63" s="101">
        <f>+$D62/V61</f>
        <v>0.65713209183611931</v>
      </c>
      <c r="W63" s="92"/>
      <c r="X63" s="92" t="s">
        <v>335</v>
      </c>
      <c r="Y63" s="96"/>
    </row>
    <row r="64" spans="1:25" ht="15.75" x14ac:dyDescent="0.25">
      <c r="A64" s="131" t="s">
        <v>145</v>
      </c>
      <c r="B64" s="67"/>
      <c r="C64" s="67"/>
      <c r="D64" s="97">
        <f>+D61*$D63</f>
        <v>10</v>
      </c>
      <c r="E64" s="92"/>
      <c r="F64" s="97">
        <f>+F61*$D63</f>
        <v>11.334782608695653</v>
      </c>
      <c r="G64" s="92"/>
      <c r="H64" s="97">
        <f>+H61*$D63</f>
        <v>12.025304347826092</v>
      </c>
      <c r="I64" s="92"/>
      <c r="J64" s="97">
        <f>+J61*$D63</f>
        <v>12.80969347826087</v>
      </c>
      <c r="K64" s="92"/>
      <c r="L64" s="97">
        <f>+L61*$D63</f>
        <v>12.806561478260871</v>
      </c>
      <c r="M64" s="92"/>
      <c r="N64" s="97">
        <f>+N61*$D63</f>
        <v>13.41288357978261</v>
      </c>
      <c r="O64" s="92"/>
      <c r="P64" s="97">
        <f>+P61*$D63</f>
        <v>14.229768440321738</v>
      </c>
      <c r="Q64" s="92"/>
      <c r="R64" s="97">
        <f>+R61*$D63</f>
        <v>15.115993323306787</v>
      </c>
      <c r="S64" s="92"/>
      <c r="T64" s="97">
        <f>+T61*$D63</f>
        <v>15.824307907308601</v>
      </c>
      <c r="U64" s="92"/>
      <c r="V64" s="97">
        <f>+V61*$D63</f>
        <v>16.540913695175373</v>
      </c>
      <c r="W64" s="92"/>
      <c r="X64" s="92" t="s">
        <v>336</v>
      </c>
      <c r="Y64" s="92"/>
    </row>
    <row r="65" spans="1:26" ht="15.75" x14ac:dyDescent="0.25">
      <c r="A65" s="131" t="s">
        <v>178</v>
      </c>
      <c r="B65" s="119"/>
      <c r="C65" s="119"/>
      <c r="D65" s="53"/>
      <c r="E65" s="53"/>
      <c r="F65" s="53"/>
      <c r="G65" s="53"/>
      <c r="H65" s="53"/>
      <c r="I65" s="53"/>
      <c r="J65" s="53"/>
      <c r="K65" s="53"/>
      <c r="L65" s="53"/>
      <c r="M65" s="53"/>
      <c r="N65" s="53"/>
      <c r="O65" s="53"/>
      <c r="P65" s="53"/>
      <c r="Q65" s="53"/>
      <c r="R65" s="53"/>
      <c r="S65" s="53"/>
      <c r="T65" s="53"/>
      <c r="U65" s="53"/>
      <c r="V65" s="53"/>
      <c r="W65" s="92"/>
      <c r="X65" s="92" t="s">
        <v>337</v>
      </c>
      <c r="Y65" s="92"/>
    </row>
    <row r="66" spans="1:26" ht="15.75" x14ac:dyDescent="0.25">
      <c r="A66" s="142"/>
      <c r="B66" s="119"/>
      <c r="C66" s="119"/>
      <c r="D66" s="53"/>
      <c r="E66" s="53"/>
      <c r="F66" s="53"/>
      <c r="G66" s="53"/>
      <c r="H66" s="53"/>
      <c r="I66" s="53"/>
      <c r="J66" s="53"/>
      <c r="K66" s="53"/>
      <c r="L66" s="53"/>
      <c r="M66" s="53"/>
      <c r="N66" s="53"/>
      <c r="O66" s="53"/>
      <c r="P66" s="53"/>
      <c r="Q66" s="53"/>
      <c r="R66" s="53"/>
      <c r="S66" s="53"/>
      <c r="T66" s="53"/>
      <c r="U66" s="53"/>
      <c r="V66" s="53"/>
      <c r="W66" s="92"/>
      <c r="X66" s="92"/>
      <c r="Y66" s="92"/>
    </row>
    <row r="67" spans="1:26" ht="15.75" x14ac:dyDescent="0.25">
      <c r="A67" s="92"/>
      <c r="B67" s="68"/>
      <c r="C67" s="68"/>
      <c r="D67" s="92"/>
      <c r="E67" s="92"/>
      <c r="F67" s="92"/>
      <c r="G67" s="92"/>
      <c r="H67" s="92"/>
      <c r="I67" s="92"/>
      <c r="J67" s="92"/>
      <c r="K67" s="92"/>
      <c r="L67" s="92"/>
      <c r="M67" s="92"/>
      <c r="N67" s="92"/>
      <c r="O67" s="92"/>
      <c r="P67" s="92"/>
      <c r="Q67" s="92"/>
      <c r="R67" s="92"/>
      <c r="S67" s="92"/>
      <c r="T67" s="92"/>
      <c r="U67" s="92"/>
      <c r="V67" s="92"/>
      <c r="W67" s="92"/>
      <c r="X67" s="92"/>
      <c r="Y67" s="92"/>
    </row>
    <row r="68" spans="1:26" ht="15.75" x14ac:dyDescent="0.25">
      <c r="A68" s="92"/>
      <c r="B68" s="68"/>
      <c r="C68" s="68"/>
      <c r="D68" s="92"/>
      <c r="E68" s="92"/>
      <c r="F68" s="92"/>
      <c r="G68" s="92"/>
      <c r="H68" s="92"/>
      <c r="I68" s="92"/>
      <c r="J68" s="92"/>
      <c r="K68" s="92"/>
      <c r="L68" s="92"/>
      <c r="M68" s="92"/>
      <c r="N68" s="92"/>
      <c r="O68" s="92"/>
      <c r="P68" s="92"/>
      <c r="Q68" s="92"/>
      <c r="R68" s="92"/>
      <c r="S68" s="92"/>
      <c r="T68" s="92"/>
      <c r="U68" s="92"/>
      <c r="V68" s="92"/>
      <c r="W68" s="92"/>
      <c r="X68" s="92"/>
      <c r="Y68" s="92"/>
    </row>
    <row r="69" spans="1:26" ht="15.75" x14ac:dyDescent="0.25">
      <c r="A69" s="94"/>
      <c r="B69" s="75"/>
      <c r="C69" s="75"/>
      <c r="D69" s="94"/>
      <c r="E69" s="94"/>
      <c r="F69" s="94"/>
      <c r="G69" s="94"/>
      <c r="H69" s="94"/>
      <c r="I69" s="94"/>
      <c r="J69" s="94"/>
      <c r="K69" s="94"/>
      <c r="L69" s="94"/>
      <c r="M69" s="94"/>
      <c r="N69" s="94"/>
      <c r="O69" s="94"/>
      <c r="P69" s="94"/>
      <c r="Q69" s="94"/>
      <c r="R69" s="94"/>
      <c r="S69" s="94"/>
      <c r="T69" s="94"/>
      <c r="U69" s="94"/>
      <c r="V69" s="94"/>
      <c r="W69" s="94"/>
      <c r="X69" s="94"/>
      <c r="Y69" s="96"/>
    </row>
    <row r="70" spans="1:26" ht="15.75" x14ac:dyDescent="0.25">
      <c r="A70" s="139"/>
      <c r="B70" s="130"/>
      <c r="C70" s="130"/>
      <c r="D70" s="139"/>
      <c r="E70" s="139"/>
      <c r="F70" s="139"/>
      <c r="G70" s="139"/>
      <c r="H70" s="139"/>
      <c r="I70" s="139"/>
      <c r="J70" s="139"/>
      <c r="K70" s="139"/>
      <c r="L70" s="139"/>
      <c r="M70" s="139"/>
      <c r="N70" s="139"/>
      <c r="O70" s="139"/>
      <c r="P70" s="139"/>
      <c r="Q70" s="139"/>
      <c r="R70" s="139"/>
      <c r="S70" s="139"/>
      <c r="T70" s="139"/>
      <c r="U70" s="139"/>
      <c r="V70" s="139"/>
      <c r="W70" s="139"/>
      <c r="X70" s="92"/>
      <c r="Y70" s="92"/>
    </row>
    <row r="71" spans="1:26" ht="23.25" x14ac:dyDescent="0.35">
      <c r="A71" s="138" t="s">
        <v>279</v>
      </c>
      <c r="B71" s="130"/>
      <c r="C71" s="130"/>
      <c r="D71" s="139"/>
      <c r="E71" s="139"/>
      <c r="F71" s="139"/>
      <c r="G71" s="139"/>
      <c r="H71" s="139"/>
      <c r="I71" s="139"/>
      <c r="J71" s="139"/>
      <c r="K71" s="139"/>
      <c r="L71" s="139"/>
      <c r="M71" s="139"/>
      <c r="N71" s="139"/>
      <c r="O71" s="139"/>
      <c r="P71" s="139"/>
      <c r="Q71" s="139"/>
      <c r="R71" s="139"/>
      <c r="S71" s="139"/>
      <c r="T71" s="139"/>
      <c r="U71" s="139"/>
      <c r="V71" s="139"/>
      <c r="W71" s="139"/>
      <c r="X71" s="92"/>
      <c r="Y71" s="92"/>
    </row>
    <row r="72" spans="1:26" ht="15.75" x14ac:dyDescent="0.25">
      <c r="A72" s="131"/>
      <c r="B72" s="67"/>
      <c r="C72" s="67"/>
      <c r="D72" s="92"/>
      <c r="E72" s="92"/>
      <c r="F72" s="92"/>
      <c r="G72" s="92"/>
      <c r="H72" s="92"/>
      <c r="I72" s="92"/>
      <c r="J72" s="92"/>
      <c r="K72" s="92"/>
      <c r="L72" s="92"/>
      <c r="M72" s="92"/>
      <c r="N72" s="92"/>
      <c r="O72" s="92"/>
      <c r="P72" s="92"/>
      <c r="Q72" s="92"/>
      <c r="R72" s="92"/>
      <c r="S72" s="92"/>
      <c r="T72" s="92"/>
      <c r="U72" s="92"/>
      <c r="V72" s="92"/>
      <c r="W72" s="92"/>
      <c r="X72" s="92"/>
      <c r="Y72" s="92"/>
    </row>
    <row r="73" spans="1:26" ht="16.5" thickBot="1" x14ac:dyDescent="0.3">
      <c r="A73" s="131" t="s">
        <v>148</v>
      </c>
      <c r="B73" s="67"/>
      <c r="C73" s="67"/>
      <c r="D73" s="92">
        <f>D7</f>
        <v>2014</v>
      </c>
      <c r="E73" s="93"/>
      <c r="F73" s="92">
        <f>D73+1</f>
        <v>2015</v>
      </c>
      <c r="G73" s="92"/>
      <c r="H73" s="92">
        <f>F73+1</f>
        <v>2016</v>
      </c>
      <c r="I73" s="92"/>
      <c r="J73" s="92">
        <f>H73+1</f>
        <v>2017</v>
      </c>
      <c r="K73" s="92"/>
      <c r="L73" s="92">
        <f>J73+1</f>
        <v>2018</v>
      </c>
      <c r="M73" s="92"/>
      <c r="N73" s="92">
        <f>L73+1</f>
        <v>2019</v>
      </c>
      <c r="O73" s="92"/>
      <c r="P73" s="92">
        <f>N73+1</f>
        <v>2020</v>
      </c>
      <c r="Q73" s="92"/>
      <c r="R73" s="92">
        <f>P73+1</f>
        <v>2021</v>
      </c>
      <c r="S73" s="92"/>
      <c r="T73" s="92">
        <f>R73+1</f>
        <v>2022</v>
      </c>
      <c r="U73" s="92"/>
      <c r="V73" s="92">
        <f>T73+1</f>
        <v>2023</v>
      </c>
      <c r="W73" s="92"/>
      <c r="X73" s="92">
        <f>V73+1</f>
        <v>2024</v>
      </c>
      <c r="Y73" s="92"/>
    </row>
    <row r="74" spans="1:26" ht="15.75" x14ac:dyDescent="0.25">
      <c r="A74" s="131"/>
      <c r="B74" s="67"/>
      <c r="C74" s="67"/>
      <c r="D74" s="100"/>
      <c r="E74" s="108"/>
      <c r="F74" s="100"/>
      <c r="G74" s="100"/>
      <c r="H74" s="100"/>
      <c r="I74" s="100"/>
      <c r="J74" s="100"/>
      <c r="K74" s="100"/>
      <c r="L74" s="100"/>
      <c r="M74" s="100"/>
      <c r="N74" s="100"/>
      <c r="O74" s="100"/>
      <c r="P74" s="100"/>
      <c r="Q74" s="100"/>
      <c r="R74" s="100"/>
      <c r="S74" s="100"/>
      <c r="T74" s="100"/>
      <c r="U74" s="100"/>
      <c r="V74" s="100"/>
      <c r="W74" s="100"/>
      <c r="X74" s="100"/>
      <c r="Y74" s="92"/>
    </row>
    <row r="75" spans="1:26" ht="15.75" x14ac:dyDescent="0.25">
      <c r="A75" s="131"/>
      <c r="B75" s="67"/>
      <c r="C75" s="67"/>
      <c r="D75" s="109" t="s">
        <v>149</v>
      </c>
      <c r="E75" s="109" t="s">
        <v>150</v>
      </c>
      <c r="F75" s="109" t="s">
        <v>149</v>
      </c>
      <c r="G75" s="109" t="s">
        <v>150</v>
      </c>
      <c r="H75" s="109" t="s">
        <v>149</v>
      </c>
      <c r="I75" s="109" t="s">
        <v>150</v>
      </c>
      <c r="J75" s="109" t="s">
        <v>149</v>
      </c>
      <c r="K75" s="109" t="s">
        <v>150</v>
      </c>
      <c r="L75" s="109" t="s">
        <v>149</v>
      </c>
      <c r="M75" s="109" t="s">
        <v>150</v>
      </c>
      <c r="N75" s="109" t="s">
        <v>149</v>
      </c>
      <c r="O75" s="109" t="s">
        <v>150</v>
      </c>
      <c r="P75" s="109" t="s">
        <v>149</v>
      </c>
      <c r="Q75" s="109" t="s">
        <v>150</v>
      </c>
      <c r="R75" s="109" t="s">
        <v>149</v>
      </c>
      <c r="S75" s="109" t="s">
        <v>150</v>
      </c>
      <c r="T75" s="109" t="s">
        <v>149</v>
      </c>
      <c r="U75" s="109" t="s">
        <v>150</v>
      </c>
      <c r="V75" s="109" t="s">
        <v>149</v>
      </c>
      <c r="W75" s="109" t="s">
        <v>150</v>
      </c>
      <c r="X75" s="92"/>
      <c r="Y75" s="92"/>
    </row>
    <row r="76" spans="1:26" ht="15.75" x14ac:dyDescent="0.25">
      <c r="A76" s="131" t="s">
        <v>151</v>
      </c>
      <c r="B76" s="67"/>
      <c r="C76" s="67"/>
      <c r="D76" s="95">
        <v>1</v>
      </c>
      <c r="E76" s="96">
        <f>(D10*D76/100)</f>
        <v>0.05</v>
      </c>
      <c r="F76" s="95">
        <v>1</v>
      </c>
      <c r="G76" s="96">
        <f>(F10*F76/100)</f>
        <v>4.2000000000000003E-2</v>
      </c>
      <c r="H76" s="95">
        <v>1</v>
      </c>
      <c r="I76" s="96">
        <f>(H10*H76/100)</f>
        <v>4.5180000000000005E-2</v>
      </c>
      <c r="J76" s="95">
        <v>1</v>
      </c>
      <c r="K76" s="96">
        <f>(J10*J76/100)</f>
        <v>4.7554199999999998E-2</v>
      </c>
      <c r="L76" s="95">
        <v>1</v>
      </c>
      <c r="M76" s="96">
        <f>(L10*L76/100)</f>
        <v>5.4853218000000002E-2</v>
      </c>
      <c r="N76" s="95">
        <v>1</v>
      </c>
      <c r="O76" s="96">
        <f>(N10*N76/100)</f>
        <v>5.3057079720000004E-2</v>
      </c>
      <c r="P76" s="95">
        <v>1</v>
      </c>
      <c r="Q76" s="96">
        <f>(P10*P76/100)</f>
        <v>5.3128996228799998E-2</v>
      </c>
      <c r="R76" s="95">
        <v>1</v>
      </c>
      <c r="S76" s="96">
        <f>(R10*R76/100)</f>
        <v>5.4992415458502003E-2</v>
      </c>
      <c r="T76" s="95">
        <v>1</v>
      </c>
      <c r="U76" s="96">
        <f>(T10*T76/100)</f>
        <v>6.0255684539816584E-2</v>
      </c>
      <c r="V76" s="95">
        <v>1</v>
      </c>
      <c r="W76" s="96">
        <f>(V10*V76/100)</f>
        <v>6.4345386888750605E-2</v>
      </c>
      <c r="X76" s="93">
        <v>1</v>
      </c>
      <c r="Y76" s="92"/>
      <c r="Z76" t="s">
        <v>341</v>
      </c>
    </row>
    <row r="77" spans="1:26" ht="15.75" x14ac:dyDescent="0.25">
      <c r="A77" s="131" t="s">
        <v>152</v>
      </c>
      <c r="B77" s="67"/>
      <c r="C77" s="67"/>
      <c r="D77" s="95">
        <v>0</v>
      </c>
      <c r="E77" s="96">
        <f>(D12*D77/100)</f>
        <v>0</v>
      </c>
      <c r="F77" s="95">
        <v>0</v>
      </c>
      <c r="G77" s="96">
        <f>(F12*F77/100)</f>
        <v>0</v>
      </c>
      <c r="H77" s="95">
        <v>0</v>
      </c>
      <c r="I77" s="96">
        <f>(H12*H77/100)</f>
        <v>0</v>
      </c>
      <c r="J77" s="95">
        <v>0</v>
      </c>
      <c r="K77" s="96">
        <f>(J12*J77/100)</f>
        <v>0</v>
      </c>
      <c r="L77" s="95">
        <v>0</v>
      </c>
      <c r="M77" s="96">
        <f>(L12*L77/100)</f>
        <v>0</v>
      </c>
      <c r="N77" s="95">
        <v>0</v>
      </c>
      <c r="O77" s="96">
        <f>(N12*N77/100)</f>
        <v>0</v>
      </c>
      <c r="P77" s="95">
        <v>0</v>
      </c>
      <c r="Q77" s="96">
        <f>(P12*P77/100)</f>
        <v>0</v>
      </c>
      <c r="R77" s="95">
        <v>0</v>
      </c>
      <c r="S77" s="96">
        <f>(R12*R77/100)</f>
        <v>0</v>
      </c>
      <c r="T77" s="95">
        <v>0</v>
      </c>
      <c r="U77" s="96">
        <f>(T12*T77/100)</f>
        <v>0</v>
      </c>
      <c r="V77" s="95">
        <v>0</v>
      </c>
      <c r="W77" s="96">
        <f>(V12*V77/100)</f>
        <v>0</v>
      </c>
      <c r="X77" s="93">
        <v>0</v>
      </c>
      <c r="Y77" s="92"/>
      <c r="Z77" t="s">
        <v>342</v>
      </c>
    </row>
    <row r="78" spans="1:26" ht="15.75" x14ac:dyDescent="0.25">
      <c r="A78" s="131" t="s">
        <v>153</v>
      </c>
      <c r="B78" s="67"/>
      <c r="C78" s="67"/>
      <c r="D78" s="95">
        <v>1</v>
      </c>
      <c r="E78" s="96">
        <f>(D13*D78/100)</f>
        <v>0.01</v>
      </c>
      <c r="F78" s="95">
        <v>1</v>
      </c>
      <c r="G78" s="96">
        <f>(F13*F78/100)</f>
        <v>9.7000000000000003E-3</v>
      </c>
      <c r="H78" s="95">
        <v>1</v>
      </c>
      <c r="I78" s="96">
        <f>(H13*H78/100)</f>
        <v>1.746E-2</v>
      </c>
      <c r="J78" s="95">
        <v>1</v>
      </c>
      <c r="K78" s="96">
        <f>(J13*J78/100)</f>
        <v>9.8212499999999984E-3</v>
      </c>
      <c r="L78" s="95">
        <v>1</v>
      </c>
      <c r="M78" s="96">
        <f>(L13*L78/100)</f>
        <v>1.1327175E-2</v>
      </c>
      <c r="N78" s="95">
        <v>1</v>
      </c>
      <c r="O78" s="96">
        <f>(N13*N78/100)</f>
        <v>1.3152028725000001E-2</v>
      </c>
      <c r="P78" s="95">
        <v>1</v>
      </c>
      <c r="Q78" s="96">
        <f>(P13*P78/100)</f>
        <v>1.698149124E-2</v>
      </c>
      <c r="R78" s="95">
        <v>1</v>
      </c>
      <c r="S78" s="96">
        <f>(R13*R78/100)</f>
        <v>1.6912521315450003E-2</v>
      </c>
      <c r="T78" s="95">
        <v>1</v>
      </c>
      <c r="U78" s="96">
        <f>(T13*T78/100)</f>
        <v>1.6832570439843004E-2</v>
      </c>
      <c r="V78" s="95">
        <v>1</v>
      </c>
      <c r="W78" s="96">
        <f>(V13*V78/100)</f>
        <v>1.7324555272169445E-2</v>
      </c>
      <c r="X78" s="93">
        <v>1</v>
      </c>
      <c r="Y78" s="92"/>
      <c r="Z78" t="s">
        <v>342</v>
      </c>
    </row>
    <row r="79" spans="1:26" ht="15.75" x14ac:dyDescent="0.25">
      <c r="A79" s="131" t="s">
        <v>154</v>
      </c>
      <c r="B79" s="67"/>
      <c r="C79" s="67"/>
      <c r="D79" s="95">
        <v>3</v>
      </c>
      <c r="E79" s="96">
        <f>(D14*D79/100)</f>
        <v>0.03</v>
      </c>
      <c r="F79" s="95">
        <v>3</v>
      </c>
      <c r="G79" s="96">
        <f>(F14*F79/100)</f>
        <v>5.4000000000000006E-2</v>
      </c>
      <c r="H79" s="95">
        <v>3</v>
      </c>
      <c r="I79" s="96">
        <f>(H14*H79/100)</f>
        <v>3.0374999999999996E-2</v>
      </c>
      <c r="J79" s="95">
        <v>3</v>
      </c>
      <c r="K79" s="96">
        <f>(J14*J79/100)</f>
        <v>3.5032500000000001E-2</v>
      </c>
      <c r="L79" s="95">
        <v>3</v>
      </c>
      <c r="M79" s="96">
        <f>(L14*L79/100)</f>
        <v>4.0676377499999999E-2</v>
      </c>
      <c r="N79" s="95">
        <v>3</v>
      </c>
      <c r="O79" s="96">
        <f>(N14*N79/100)</f>
        <v>5.2520075999999999E-2</v>
      </c>
      <c r="P79" s="95">
        <v>3</v>
      </c>
      <c r="Q79" s="96">
        <f>(P14*P79/100)</f>
        <v>5.2306766955000007E-2</v>
      </c>
      <c r="R79" s="95">
        <v>3</v>
      </c>
      <c r="S79" s="96">
        <f>(R14*R79/100)</f>
        <v>5.2059496205700009E-2</v>
      </c>
      <c r="T79" s="95">
        <v>3</v>
      </c>
      <c r="U79" s="96">
        <f>(T14*T79/100)</f>
        <v>5.3581098779905495E-2</v>
      </c>
      <c r="V79" s="95">
        <v>3</v>
      </c>
      <c r="W79" s="96">
        <f>(V14*V79/100)</f>
        <v>5.8161314346742612E-2</v>
      </c>
      <c r="X79" s="93">
        <v>1</v>
      </c>
      <c r="Y79" s="92"/>
      <c r="Z79" t="s">
        <v>343</v>
      </c>
    </row>
    <row r="80" spans="1:26" ht="15.75" x14ac:dyDescent="0.25">
      <c r="A80" s="131" t="s">
        <v>155</v>
      </c>
      <c r="B80" s="67"/>
      <c r="C80" s="67"/>
      <c r="D80" s="95">
        <v>10</v>
      </c>
      <c r="E80" s="96">
        <f>(D15*D80/100)</f>
        <v>0.2</v>
      </c>
      <c r="F80" s="95">
        <v>10</v>
      </c>
      <c r="G80" s="96">
        <f>(F15*F80/100)</f>
        <v>0.1125</v>
      </c>
      <c r="H80" s="95">
        <v>10</v>
      </c>
      <c r="I80" s="96">
        <f>(H15*H80/100)</f>
        <v>0.12975</v>
      </c>
      <c r="J80" s="95">
        <v>10</v>
      </c>
      <c r="K80" s="96">
        <f>(J15*J80/100)</f>
        <v>0.15065325000000002</v>
      </c>
      <c r="L80" s="95">
        <v>10</v>
      </c>
      <c r="M80" s="96">
        <f>(L15*L80/100)</f>
        <v>0.19451879999999999</v>
      </c>
      <c r="N80" s="95">
        <v>10</v>
      </c>
      <c r="O80" s="96">
        <f>(N15*N80/100)</f>
        <v>0.19372876650000001</v>
      </c>
      <c r="P80" s="95">
        <v>10</v>
      </c>
      <c r="Q80" s="96">
        <f>(P15*P80/100)</f>
        <v>0.19281294891</v>
      </c>
      <c r="R80" s="95">
        <v>10</v>
      </c>
      <c r="S80" s="96">
        <f>(R15*R80/100)</f>
        <v>0.19844851399964999</v>
      </c>
      <c r="T80" s="95">
        <v>10</v>
      </c>
      <c r="U80" s="96">
        <f>(T15*T80/100)</f>
        <v>0.21541227535830601</v>
      </c>
      <c r="V80" s="95">
        <v>10</v>
      </c>
      <c r="W80" s="96">
        <f>(V15*V80/100)</f>
        <v>0.23099724192633622</v>
      </c>
      <c r="X80" s="93">
        <v>10</v>
      </c>
      <c r="Y80" s="92"/>
      <c r="Z80" t="s">
        <v>344</v>
      </c>
    </row>
    <row r="81" spans="1:26" ht="15.75" x14ac:dyDescent="0.25">
      <c r="A81" s="131"/>
      <c r="B81" s="67"/>
      <c r="C81" s="67"/>
      <c r="D81" s="95"/>
      <c r="E81" s="92"/>
      <c r="F81" s="95"/>
      <c r="G81" s="92"/>
      <c r="H81" s="95"/>
      <c r="I81" s="92"/>
      <c r="J81" s="95"/>
      <c r="K81" s="92"/>
      <c r="L81" s="95"/>
      <c r="M81" s="92"/>
      <c r="N81" s="95"/>
      <c r="O81" s="92"/>
      <c r="P81" s="95"/>
      <c r="Q81" s="92"/>
      <c r="R81" s="95"/>
      <c r="S81" s="92"/>
      <c r="T81" s="95"/>
      <c r="U81" s="92"/>
      <c r="V81" s="95"/>
      <c r="W81" s="92"/>
      <c r="X81" s="93"/>
      <c r="Y81" s="92"/>
    </row>
    <row r="82" spans="1:26" ht="15.75" x14ac:dyDescent="0.25">
      <c r="A82" s="131" t="s">
        <v>156</v>
      </c>
      <c r="B82" s="67"/>
      <c r="C82" s="67"/>
      <c r="D82" s="95">
        <v>0</v>
      </c>
      <c r="E82" s="96">
        <f>(D19*D82/100)</f>
        <v>0</v>
      </c>
      <c r="F82" s="95">
        <v>0</v>
      </c>
      <c r="G82" s="96">
        <f>(F19*F82/100)</f>
        <v>0</v>
      </c>
      <c r="H82" s="95">
        <v>0</v>
      </c>
      <c r="I82" s="96">
        <f>(H19*H82/100)</f>
        <v>0</v>
      </c>
      <c r="J82" s="95">
        <v>0</v>
      </c>
      <c r="K82" s="96">
        <f>(J19*J82/100)</f>
        <v>0</v>
      </c>
      <c r="L82" s="95">
        <v>0</v>
      </c>
      <c r="M82" s="96">
        <f>(L19*L82/100)</f>
        <v>0</v>
      </c>
      <c r="N82" s="95">
        <v>0</v>
      </c>
      <c r="O82" s="96">
        <f>(N19*N82/100)</f>
        <v>0</v>
      </c>
      <c r="P82" s="95">
        <v>0</v>
      </c>
      <c r="Q82" s="96">
        <f>(P19*P82/100)</f>
        <v>0</v>
      </c>
      <c r="R82" s="95">
        <v>0</v>
      </c>
      <c r="S82" s="96">
        <f>(R19*R82/100)</f>
        <v>0</v>
      </c>
      <c r="T82" s="95">
        <v>0</v>
      </c>
      <c r="U82" s="96">
        <f>(T19*T82/100)</f>
        <v>0</v>
      </c>
      <c r="V82" s="95">
        <v>0</v>
      </c>
      <c r="W82" s="96">
        <f>(V19*V82/100)</f>
        <v>0</v>
      </c>
      <c r="X82" s="93">
        <v>0</v>
      </c>
      <c r="Y82" s="92"/>
      <c r="Z82" t="s">
        <v>342</v>
      </c>
    </row>
    <row r="83" spans="1:26" ht="15.75" x14ac:dyDescent="0.25">
      <c r="A83" s="131" t="s">
        <v>157</v>
      </c>
      <c r="B83" s="67"/>
      <c r="C83" s="67"/>
      <c r="D83" s="95">
        <v>1</v>
      </c>
      <c r="E83" s="96">
        <f>(D20*D83/100)</f>
        <v>0.01</v>
      </c>
      <c r="F83" s="95">
        <v>1</v>
      </c>
      <c r="G83" s="96">
        <f>(F20*F83/100)</f>
        <v>9.7000000000000003E-3</v>
      </c>
      <c r="H83" s="95">
        <v>1</v>
      </c>
      <c r="I83" s="96">
        <f>(H20*H83/100)</f>
        <v>1.746E-2</v>
      </c>
      <c r="J83" s="95">
        <v>1</v>
      </c>
      <c r="K83" s="96">
        <f>(J20*J83/100)</f>
        <v>9.8212499999999984E-3</v>
      </c>
      <c r="L83" s="95">
        <v>1</v>
      </c>
      <c r="M83" s="96">
        <f>(L20*L83/100)</f>
        <v>1.1327175E-2</v>
      </c>
      <c r="N83" s="95">
        <v>1</v>
      </c>
      <c r="O83" s="96">
        <f>(N20*N83/100)</f>
        <v>1.3152028725000001E-2</v>
      </c>
      <c r="P83" s="95">
        <v>1</v>
      </c>
      <c r="Q83" s="96">
        <f>(P20*P83/100)</f>
        <v>1.698149124E-2</v>
      </c>
      <c r="R83" s="95">
        <v>1</v>
      </c>
      <c r="S83" s="96">
        <f>(R20*R83/100)</f>
        <v>1.6912521315450003E-2</v>
      </c>
      <c r="T83" s="95">
        <v>1</v>
      </c>
      <c r="U83" s="96">
        <f>(T20*T83/100)</f>
        <v>1.6832570439843004E-2</v>
      </c>
      <c r="V83" s="95">
        <v>1</v>
      </c>
      <c r="W83" s="96">
        <f>(V20*V83/100)</f>
        <v>1.7324555272169445E-2</v>
      </c>
      <c r="X83" s="93">
        <v>1</v>
      </c>
      <c r="Y83" s="92"/>
      <c r="Z83" t="s">
        <v>342</v>
      </c>
    </row>
    <row r="84" spans="1:26" ht="15.75" x14ac:dyDescent="0.25">
      <c r="A84" s="131" t="s">
        <v>158</v>
      </c>
      <c r="B84" s="67"/>
      <c r="C84" s="67"/>
      <c r="D84" s="95">
        <v>3</v>
      </c>
      <c r="E84" s="96">
        <f>(D21*D84/100)</f>
        <v>0.03</v>
      </c>
      <c r="F84" s="95">
        <v>3</v>
      </c>
      <c r="G84" s="96">
        <f>(F21*F84/100)</f>
        <v>5.4000000000000006E-2</v>
      </c>
      <c r="H84" s="95">
        <v>3</v>
      </c>
      <c r="I84" s="96">
        <f>(H21*H84/100)</f>
        <v>3.0374999999999996E-2</v>
      </c>
      <c r="J84" s="95">
        <v>3</v>
      </c>
      <c r="K84" s="96">
        <f>(J21*J84/100)</f>
        <v>3.5032500000000001E-2</v>
      </c>
      <c r="L84" s="95">
        <v>3</v>
      </c>
      <c r="M84" s="96">
        <f>(L21*L84/100)</f>
        <v>4.0676377499999999E-2</v>
      </c>
      <c r="N84" s="95">
        <v>3</v>
      </c>
      <c r="O84" s="96">
        <f>(N21*N84/100)</f>
        <v>5.2520075999999999E-2</v>
      </c>
      <c r="P84" s="95">
        <v>3</v>
      </c>
      <c r="Q84" s="96">
        <f>(P21*P84/100)</f>
        <v>5.2306766955000007E-2</v>
      </c>
      <c r="R84" s="95">
        <v>3</v>
      </c>
      <c r="S84" s="96">
        <f>(R21*R84/100)</f>
        <v>5.2059496205700009E-2</v>
      </c>
      <c r="T84" s="95">
        <v>3</v>
      </c>
      <c r="U84" s="96">
        <f>(T21*T84/100)</f>
        <v>5.3581098779905495E-2</v>
      </c>
      <c r="V84" s="95">
        <v>3</v>
      </c>
      <c r="W84" s="96">
        <f>(V21*V84/100)</f>
        <v>5.8161314346742612E-2</v>
      </c>
      <c r="X84" s="93">
        <v>1</v>
      </c>
      <c r="Y84" s="92"/>
      <c r="Z84" t="s">
        <v>343</v>
      </c>
    </row>
    <row r="85" spans="1:26" ht="15.75" x14ac:dyDescent="0.25">
      <c r="A85" s="131" t="s">
        <v>159</v>
      </c>
      <c r="B85" s="67"/>
      <c r="C85" s="67"/>
      <c r="D85" s="95">
        <v>10</v>
      </c>
      <c r="E85" s="96">
        <f>(D22*D85/100)</f>
        <v>0.2</v>
      </c>
      <c r="F85" s="95">
        <v>10</v>
      </c>
      <c r="G85" s="96">
        <f>(F22*F85/100)</f>
        <v>0.1125</v>
      </c>
      <c r="H85" s="95">
        <v>10</v>
      </c>
      <c r="I85" s="96">
        <f>(H22*H85/100)</f>
        <v>0.12975</v>
      </c>
      <c r="J85" s="95">
        <v>10</v>
      </c>
      <c r="K85" s="96">
        <f>(J22*J85/100)</f>
        <v>0.15065325000000002</v>
      </c>
      <c r="L85" s="95">
        <v>10</v>
      </c>
      <c r="M85" s="96">
        <f>(L22*L85/100)</f>
        <v>0.19451879999999999</v>
      </c>
      <c r="N85" s="95">
        <v>10</v>
      </c>
      <c r="O85" s="96">
        <f>(N22*N85/100)</f>
        <v>0.19372876650000001</v>
      </c>
      <c r="P85" s="95">
        <v>10</v>
      </c>
      <c r="Q85" s="96">
        <f>(P22*P85/100)</f>
        <v>0.19281294891</v>
      </c>
      <c r="R85" s="95">
        <v>10</v>
      </c>
      <c r="S85" s="96">
        <f>(R22*R85/100)</f>
        <v>0.19844851399964999</v>
      </c>
      <c r="T85" s="95">
        <v>10</v>
      </c>
      <c r="U85" s="96">
        <f>(T22*T85/100)</f>
        <v>0.21541227535830601</v>
      </c>
      <c r="V85" s="95">
        <v>10</v>
      </c>
      <c r="W85" s="96">
        <f>(V22*V85/100)</f>
        <v>0.23099724192633622</v>
      </c>
      <c r="X85" s="93">
        <v>10</v>
      </c>
      <c r="Y85" s="92"/>
      <c r="Z85" t="s">
        <v>344</v>
      </c>
    </row>
    <row r="86" spans="1:26" ht="15.75" x14ac:dyDescent="0.25">
      <c r="A86" s="131"/>
      <c r="B86" s="67"/>
      <c r="C86" s="67"/>
      <c r="D86" s="110"/>
      <c r="E86" s="92"/>
      <c r="F86" s="110"/>
      <c r="G86" s="92"/>
      <c r="H86" s="110"/>
      <c r="I86" s="92"/>
      <c r="J86" s="110"/>
      <c r="K86" s="92"/>
      <c r="L86" s="110"/>
      <c r="M86" s="92"/>
      <c r="N86" s="110"/>
      <c r="O86" s="92"/>
      <c r="P86" s="110"/>
      <c r="Q86" s="92"/>
      <c r="R86" s="110"/>
      <c r="S86" s="92"/>
      <c r="T86" s="110"/>
      <c r="U86" s="92"/>
      <c r="V86" s="110"/>
      <c r="W86" s="92"/>
      <c r="X86" s="92"/>
      <c r="Y86" s="92"/>
    </row>
    <row r="87" spans="1:26" ht="15.75" x14ac:dyDescent="0.25">
      <c r="A87" s="131" t="s">
        <v>160</v>
      </c>
      <c r="B87" s="67"/>
      <c r="C87" s="67"/>
      <c r="D87" s="110"/>
      <c r="E87" s="96">
        <f>SUM(E76:E85)</f>
        <v>0.53</v>
      </c>
      <c r="F87" s="110"/>
      <c r="G87" s="96">
        <f>SUM(G76:G85)</f>
        <v>0.39439999999999997</v>
      </c>
      <c r="H87" s="110"/>
      <c r="I87" s="96">
        <f>SUM(I76:I85)</f>
        <v>0.40034999999999998</v>
      </c>
      <c r="J87" s="110"/>
      <c r="K87" s="96">
        <f>SUM(K76:K85)</f>
        <v>0.43856820000000002</v>
      </c>
      <c r="L87" s="110"/>
      <c r="M87" s="96">
        <f>SUM(M76:M85)</f>
        <v>0.54789792299999995</v>
      </c>
      <c r="N87" s="110"/>
      <c r="O87" s="96">
        <f>SUM(O76:O85)</f>
        <v>0.57185882217000006</v>
      </c>
      <c r="P87" s="110"/>
      <c r="Q87" s="96">
        <f>SUM(Q76:Q85)</f>
        <v>0.5773314104388001</v>
      </c>
      <c r="R87" s="110"/>
      <c r="S87" s="96">
        <f>SUM(S76:S85)</f>
        <v>0.58983347850010204</v>
      </c>
      <c r="T87" s="110"/>
      <c r="U87" s="96">
        <f>SUM(U76:U85)</f>
        <v>0.63190757369592554</v>
      </c>
      <c r="V87" s="110"/>
      <c r="W87" s="96">
        <f>SUM(W76:W85)</f>
        <v>0.67731160997924722</v>
      </c>
      <c r="X87" s="92"/>
      <c r="Y87" s="92"/>
    </row>
    <row r="88" spans="1:26" ht="15.75" x14ac:dyDescent="0.25">
      <c r="A88" s="131"/>
      <c r="B88" s="67"/>
      <c r="C88" s="67"/>
      <c r="D88" s="110"/>
      <c r="E88" s="92"/>
      <c r="F88" s="110"/>
      <c r="G88" s="92"/>
      <c r="H88" s="110"/>
      <c r="I88" s="92"/>
      <c r="J88" s="110"/>
      <c r="K88" s="92"/>
      <c r="L88" s="110"/>
      <c r="M88" s="92"/>
      <c r="N88" s="110"/>
      <c r="O88" s="92"/>
      <c r="P88" s="110"/>
      <c r="Q88" s="92"/>
      <c r="R88" s="110"/>
      <c r="S88" s="92"/>
      <c r="T88" s="110"/>
      <c r="U88" s="92"/>
      <c r="V88" s="110"/>
      <c r="W88" s="92"/>
      <c r="X88" s="92"/>
      <c r="Y88" s="92"/>
    </row>
    <row r="89" spans="1:26" ht="15.75" x14ac:dyDescent="0.25">
      <c r="A89" s="131" t="s">
        <v>161</v>
      </c>
      <c r="B89" s="67"/>
      <c r="C89" s="67"/>
      <c r="D89" s="95">
        <v>15</v>
      </c>
      <c r="E89" s="101">
        <f>(D10*D89/100)</f>
        <v>0.75</v>
      </c>
      <c r="F89" s="95">
        <v>15</v>
      </c>
      <c r="G89" s="101">
        <f>(F10*F89/100)</f>
        <v>0.63</v>
      </c>
      <c r="H89" s="95">
        <v>15</v>
      </c>
      <c r="I89" s="101">
        <f>(H10*H89/100)</f>
        <v>0.67770000000000008</v>
      </c>
      <c r="J89" s="95">
        <v>20</v>
      </c>
      <c r="K89" s="101">
        <f>(J10*J89/100)</f>
        <v>0.95108400000000004</v>
      </c>
      <c r="L89" s="95">
        <v>20</v>
      </c>
      <c r="M89" s="101">
        <f>(L10*L89/100)</f>
        <v>1.0970643600000001</v>
      </c>
      <c r="N89" s="95">
        <v>20</v>
      </c>
      <c r="O89" s="101">
        <f>(N10*N89/100)</f>
        <v>1.0611415944</v>
      </c>
      <c r="P89" s="95">
        <v>20</v>
      </c>
      <c r="Q89" s="101">
        <f>(P10*P89/100)</f>
        <v>1.0625799245759999</v>
      </c>
      <c r="R89" s="95">
        <v>20</v>
      </c>
      <c r="S89" s="101">
        <f>(R10*R89/100)</f>
        <v>1.09984830917004</v>
      </c>
      <c r="T89" s="95">
        <v>20</v>
      </c>
      <c r="U89" s="101">
        <f>(T10*T89/100)</f>
        <v>1.2051136907963318</v>
      </c>
      <c r="V89" s="95">
        <v>20</v>
      </c>
      <c r="W89" s="101">
        <f>(V10*V89/100)</f>
        <v>1.286907737775012</v>
      </c>
      <c r="X89" s="93">
        <v>15</v>
      </c>
      <c r="Y89" s="92"/>
      <c r="Z89" t="s">
        <v>345</v>
      </c>
    </row>
    <row r="90" spans="1:26" ht="15.75" x14ac:dyDescent="0.25">
      <c r="A90" s="119"/>
      <c r="B90" s="119"/>
      <c r="C90" s="119"/>
      <c r="E90" s="96"/>
      <c r="F90" s="92"/>
      <c r="G90" s="96"/>
      <c r="H90" s="92"/>
      <c r="I90" s="96"/>
      <c r="J90" s="92"/>
      <c r="K90" s="96"/>
      <c r="L90" s="92"/>
      <c r="M90" s="96"/>
      <c r="N90" s="92"/>
      <c r="O90" s="96"/>
      <c r="P90" s="92"/>
      <c r="Q90" s="96"/>
      <c r="R90" s="92"/>
      <c r="S90" s="96"/>
      <c r="T90" s="92"/>
      <c r="U90" s="96"/>
      <c r="V90" s="92"/>
      <c r="W90" s="96"/>
      <c r="X90" s="92"/>
      <c r="Y90" s="92"/>
    </row>
    <row r="91" spans="1:26" ht="15.75" x14ac:dyDescent="0.25">
      <c r="A91" s="131" t="s">
        <v>163</v>
      </c>
      <c r="B91" s="67"/>
      <c r="C91" s="67"/>
      <c r="D91" s="92"/>
      <c r="E91" s="96">
        <f>IF($L$4=4,(D10-E89-E76+E46+(D12-(D12*D77/100))),IF($L$4=3,(D10-E89-E76+E46+(D13-(D13*D78/100))),IF($L$4=2,(D10-E89-E76+E46+(D14-(D14*D79/100))),0)))</f>
        <v>4.2</v>
      </c>
      <c r="F91" s="93"/>
      <c r="G91" s="96">
        <f>IF($L$4=4,(F10-G89-G76+G46+(F12-(F12*F77/100))),IF($L$4=3,(F10-G89-G76+G46+(F13-(F13*F78/100))),IF($L$4=2,(F10-G89-G76+G46+(F14-(F14*F79/100))),0)))</f>
        <v>4.5180000000000007</v>
      </c>
      <c r="H91" s="92"/>
      <c r="I91" s="96">
        <f>IF($L$4=4,(H10-I89-I76+I46+(H12-(H12*H77/100))),IF($L$4=3,(H10-I89-I76+I46+(H13-(H13*H78/100))),IF($L$4=2,(H10-I89-I76+I46+(H14-(H14*H79/100))),0)))</f>
        <v>4.75542</v>
      </c>
      <c r="J91" s="92"/>
      <c r="K91" s="96">
        <f>IF($L$4=4,(J10-K89-K76+K46+(J12-(J12*J77/100))),IF($L$4=3,(J10-K89-K76+K46+(J13-(J13*J78/100))),IF($L$4=2,(J10-K89-K76+K46+(J14-(J14*J79/100))),0)))</f>
        <v>5.4853218000000004</v>
      </c>
      <c r="L91" s="96"/>
      <c r="M91" s="96">
        <f>IF($L$4=4,(L10-M89-M76+M46+(L12-(L12*L77/100))),IF($L$4=3,(L10-M89-M76+M46+(L13-(L13*L78/100))),IF($L$4=2,(L10-M89-M76+M46+(L14-(L14*L79/100))),0)))</f>
        <v>5.3057079720000004</v>
      </c>
      <c r="N91" s="92"/>
      <c r="O91" s="96">
        <f>IF($L$4=4,(N10-O89-O76+O46+(N12-(N12*N77/100))),IF($L$4=3,(N10-O89-O76+O46+(N13-(N13*N78/100))),IF($L$4=2,(N10-O89-O76+O46+(N14-(N14*N79/100))),0)))</f>
        <v>5.3128996228799998</v>
      </c>
      <c r="P91" s="92"/>
      <c r="Q91" s="96">
        <f>IF($L$4=4,(P10-Q89-Q76+Q46+(P12-(P12*P77/100))),IF($L$4=3,(P10-Q89-Q76+Q46+(P13-(P13*P78/100))),IF($L$4=2,(P10-Q89-Q76+Q46+(P14-(P14*P79/100))),0)))</f>
        <v>5.4992415458502002</v>
      </c>
      <c r="R91" s="92"/>
      <c r="S91" s="96">
        <f>IF($L$4=4,(R10-S89-S76+S46+(R12-(R12*R77/100))),IF($L$4=3,(R10-S89-S76+S46+(R13-(R13*R78/100))),IF($L$4=2,(R10-S89-S76+S46+(R14-(R14*R79/100))),0)))</f>
        <v>6.0255684539816583</v>
      </c>
      <c r="T91" s="96"/>
      <c r="U91" s="96">
        <f>IF($L$4=4,(T10-U89-U76+U46+(T12-(T12*T77/100))),IF($L$4=3,(T10-U89-U76+U46+(T13-(T13*T78/100))),IF($L$4=2,(T10-U89-U76+U46+(T14-(T14*T79/100))),0)))</f>
        <v>6.43453868887506</v>
      </c>
      <c r="V91" s="92"/>
      <c r="W91" s="96">
        <f>IF($L$4=4,(V10-W89-W76+W46+(V12-(V12*V77/100))),IF($L$4=3,(V10-W89-W76+W46+(V13-(V13*V78/100))),IF($L$4=2,(V10-W89-W76+W46+(V14-(V14*V79/100))),0)))</f>
        <v>6.7497100377557544</v>
      </c>
      <c r="X91" s="96"/>
      <c r="Y91" s="92"/>
    </row>
    <row r="92" spans="1:26" ht="15.75" x14ac:dyDescent="0.25">
      <c r="A92" s="92"/>
      <c r="B92" s="68"/>
      <c r="C92" s="68"/>
      <c r="D92" s="92"/>
      <c r="E92" s="92"/>
      <c r="F92" s="92"/>
      <c r="G92" s="92"/>
      <c r="H92" s="92"/>
      <c r="I92" s="92"/>
      <c r="J92" s="92"/>
      <c r="K92" s="92"/>
      <c r="L92" s="92"/>
      <c r="M92" s="92"/>
      <c r="N92" s="92"/>
      <c r="O92" s="92"/>
      <c r="P92" s="92"/>
      <c r="Q92" s="92"/>
      <c r="R92" s="92"/>
      <c r="S92" s="92"/>
      <c r="T92" s="92"/>
      <c r="U92" s="92"/>
      <c r="V92" s="92"/>
      <c r="W92" s="92"/>
      <c r="X92" s="92"/>
      <c r="Y92" s="92"/>
    </row>
    <row r="93" spans="1:26" ht="16.5" thickBot="1" x14ac:dyDescent="0.3">
      <c r="A93" s="92"/>
      <c r="B93" s="68"/>
      <c r="C93" s="68"/>
      <c r="D93" s="92"/>
      <c r="E93" s="92"/>
      <c r="F93" s="92"/>
      <c r="G93" s="92"/>
      <c r="H93" s="92"/>
      <c r="I93" s="92"/>
      <c r="J93" s="92"/>
      <c r="K93" s="92"/>
      <c r="L93" s="92"/>
      <c r="M93" s="92"/>
      <c r="N93" s="92"/>
      <c r="O93" s="92"/>
      <c r="P93" s="92"/>
      <c r="Q93" s="92"/>
      <c r="R93" s="92"/>
      <c r="S93" s="92"/>
      <c r="T93" s="92"/>
      <c r="U93" s="92"/>
      <c r="V93" s="92"/>
      <c r="W93" s="92"/>
      <c r="X93" s="92"/>
      <c r="Y93" s="92"/>
    </row>
    <row r="94" spans="1:26" ht="16.5" thickBot="1" x14ac:dyDescent="0.3">
      <c r="A94" s="199" t="s">
        <v>303</v>
      </c>
      <c r="B94" s="119"/>
      <c r="C94" s="119"/>
      <c r="D94" s="226" t="s">
        <v>304</v>
      </c>
      <c r="E94" s="221"/>
      <c r="F94" s="226" t="s">
        <v>305</v>
      </c>
      <c r="G94" s="221"/>
      <c r="H94" s="226" t="s">
        <v>168</v>
      </c>
      <c r="I94" s="221"/>
      <c r="K94" s="92"/>
      <c r="L94" s="92"/>
      <c r="M94" s="92"/>
      <c r="N94" s="92"/>
      <c r="O94" s="92"/>
      <c r="P94" s="92"/>
      <c r="Q94" s="92"/>
      <c r="R94" s="92"/>
      <c r="S94" s="92"/>
      <c r="T94" s="92"/>
      <c r="U94" s="92"/>
      <c r="V94" s="92"/>
      <c r="W94" s="92"/>
      <c r="X94" s="92"/>
      <c r="Y94" s="92"/>
    </row>
    <row r="95" spans="1:26" ht="16.5" thickBot="1" x14ac:dyDescent="0.3">
      <c r="A95" s="222"/>
      <c r="B95" s="223"/>
      <c r="C95" s="223"/>
      <c r="D95" s="224"/>
      <c r="E95" s="225"/>
      <c r="G95" s="221"/>
      <c r="H95" s="227"/>
      <c r="I95" s="221"/>
      <c r="L95" s="92"/>
      <c r="M95" s="92"/>
      <c r="N95" s="92"/>
      <c r="O95" s="92"/>
      <c r="P95" s="92"/>
      <c r="Q95" s="92"/>
      <c r="R95" s="92"/>
      <c r="S95" s="92"/>
      <c r="T95" s="92"/>
      <c r="U95" s="92"/>
      <c r="V95" s="92"/>
      <c r="W95" s="92"/>
      <c r="X95" s="92"/>
      <c r="Y95" s="92"/>
    </row>
    <row r="96" spans="1:26" ht="16.5" thickBot="1" x14ac:dyDescent="0.3">
      <c r="A96" s="222" t="s">
        <v>300</v>
      </c>
      <c r="B96" s="223"/>
      <c r="C96" s="223"/>
      <c r="D96" s="236">
        <v>450</v>
      </c>
      <c r="E96" s="237"/>
      <c r="F96" s="238">
        <v>5</v>
      </c>
      <c r="G96" s="237"/>
      <c r="H96" s="228">
        <f>+D96*F96</f>
        <v>2250</v>
      </c>
      <c r="I96" s="221"/>
      <c r="K96" t="s">
        <v>348</v>
      </c>
      <c r="L96" s="92"/>
      <c r="M96" s="92"/>
      <c r="N96" s="92"/>
      <c r="O96" s="92"/>
      <c r="P96" s="92"/>
      <c r="Q96" s="92"/>
      <c r="R96" s="92"/>
      <c r="S96" s="92"/>
      <c r="T96" s="92"/>
      <c r="U96" s="92"/>
      <c r="V96" s="92"/>
      <c r="W96" s="92"/>
      <c r="X96" s="92"/>
      <c r="Y96" s="92"/>
    </row>
    <row r="97" spans="1:26" ht="16.5" thickBot="1" x14ac:dyDescent="0.3">
      <c r="A97" s="222" t="s">
        <v>301</v>
      </c>
      <c r="B97" s="223"/>
      <c r="C97" s="223"/>
      <c r="D97" s="239">
        <v>0.5</v>
      </c>
      <c r="E97" s="237"/>
      <c r="F97" s="238"/>
      <c r="G97" s="237"/>
      <c r="H97" s="229"/>
      <c r="I97" s="221"/>
      <c r="K97" t="s">
        <v>349</v>
      </c>
      <c r="L97" s="92"/>
      <c r="M97" s="92"/>
      <c r="N97" s="92"/>
      <c r="O97" s="92"/>
      <c r="P97" s="92"/>
      <c r="Q97" s="92"/>
      <c r="R97" s="92"/>
      <c r="S97" s="92"/>
      <c r="T97" s="92"/>
      <c r="U97" s="92"/>
      <c r="V97" s="92"/>
      <c r="W97" s="92"/>
      <c r="X97" s="92"/>
      <c r="Y97" s="92"/>
    </row>
    <row r="98" spans="1:26" ht="16.5" thickBot="1" x14ac:dyDescent="0.3">
      <c r="A98" s="222" t="s">
        <v>302</v>
      </c>
      <c r="B98" s="223"/>
      <c r="C98" s="223"/>
      <c r="D98" s="236">
        <f>+D96*D97</f>
        <v>225</v>
      </c>
      <c r="E98" s="237"/>
      <c r="F98" s="238">
        <v>12</v>
      </c>
      <c r="G98" s="237"/>
      <c r="H98" s="228">
        <f>+D98*F98</f>
        <v>2700</v>
      </c>
      <c r="I98" s="221"/>
      <c r="K98" s="92"/>
      <c r="L98" s="92"/>
      <c r="M98" s="92"/>
      <c r="N98" s="92"/>
      <c r="O98" s="92"/>
      <c r="P98" s="92"/>
      <c r="Q98" s="92"/>
      <c r="R98" s="92"/>
      <c r="S98" s="92"/>
      <c r="T98" s="92"/>
      <c r="U98" s="92"/>
      <c r="V98" s="92"/>
      <c r="W98" s="92"/>
      <c r="X98" s="92"/>
      <c r="Y98" s="92"/>
    </row>
    <row r="99" spans="1:26" ht="15.75" x14ac:dyDescent="0.25">
      <c r="A99" s="92"/>
      <c r="B99" s="68"/>
      <c r="C99" s="68"/>
      <c r="D99" s="92"/>
      <c r="E99" s="92"/>
      <c r="F99" s="92"/>
      <c r="G99" s="92"/>
      <c r="H99" s="92"/>
      <c r="I99" s="92"/>
      <c r="J99" s="92"/>
      <c r="K99" s="92"/>
      <c r="L99" s="92"/>
      <c r="M99" s="92"/>
      <c r="N99" s="92"/>
      <c r="O99" s="92"/>
      <c r="P99" s="92"/>
      <c r="Q99" s="92"/>
      <c r="R99" s="92"/>
      <c r="S99" s="92"/>
      <c r="T99" s="92"/>
      <c r="U99" s="92"/>
      <c r="V99" s="92"/>
      <c r="W99" s="92"/>
      <c r="X99" s="92"/>
      <c r="Y99" s="92"/>
    </row>
    <row r="100" spans="1:26" ht="15.75" x14ac:dyDescent="0.25">
      <c r="A100" s="92"/>
      <c r="B100" s="68"/>
      <c r="C100" s="68"/>
      <c r="D100" s="92"/>
      <c r="E100" s="92"/>
      <c r="F100" s="92"/>
      <c r="G100" s="92"/>
      <c r="H100" s="92"/>
      <c r="I100" s="92"/>
      <c r="J100" s="92"/>
      <c r="K100" s="92"/>
      <c r="L100" s="92"/>
      <c r="M100" s="92"/>
      <c r="N100" s="92"/>
      <c r="O100" s="92"/>
      <c r="P100" s="92"/>
      <c r="Q100" s="92"/>
      <c r="R100" s="92"/>
      <c r="S100" s="92"/>
      <c r="T100" s="92"/>
      <c r="U100" s="92"/>
      <c r="V100" s="92"/>
      <c r="W100" s="92"/>
      <c r="X100" s="92"/>
      <c r="Y100" s="92"/>
    </row>
    <row r="101" spans="1:26" ht="15.75" x14ac:dyDescent="0.25">
      <c r="A101" s="139"/>
      <c r="B101" s="130"/>
      <c r="C101" s="130"/>
      <c r="D101" s="139"/>
      <c r="E101" s="139"/>
      <c r="F101" s="139"/>
      <c r="G101" s="139"/>
      <c r="H101" s="139"/>
      <c r="I101" s="139"/>
      <c r="J101" s="139"/>
      <c r="K101" s="139"/>
      <c r="L101" s="139"/>
      <c r="M101" s="139"/>
      <c r="N101" s="139"/>
      <c r="O101" s="139"/>
      <c r="P101" s="139"/>
      <c r="Q101" s="139"/>
      <c r="R101" s="139"/>
      <c r="S101" s="139"/>
      <c r="T101" s="139"/>
      <c r="U101" s="139"/>
      <c r="V101" s="139"/>
      <c r="W101" s="139"/>
      <c r="X101" s="92"/>
      <c r="Y101" s="92"/>
    </row>
    <row r="102" spans="1:26" ht="23.25" x14ac:dyDescent="0.35">
      <c r="A102" s="138" t="s">
        <v>179</v>
      </c>
      <c r="B102" s="130"/>
      <c r="C102" s="130"/>
      <c r="D102" s="139"/>
      <c r="E102" s="139"/>
      <c r="F102" s="139"/>
      <c r="G102" s="139"/>
      <c r="H102" s="139"/>
      <c r="I102" s="139"/>
      <c r="J102" s="139"/>
      <c r="K102" s="139"/>
      <c r="L102" s="139"/>
      <c r="M102" s="139"/>
      <c r="N102" s="139"/>
      <c r="O102" s="139"/>
      <c r="P102" s="139"/>
      <c r="Q102" s="139"/>
      <c r="R102" s="139"/>
      <c r="S102" s="139"/>
      <c r="T102" s="139"/>
      <c r="U102" s="139"/>
      <c r="V102" s="139"/>
      <c r="W102" s="139"/>
      <c r="X102" s="92"/>
      <c r="Y102" s="92"/>
    </row>
    <row r="103" spans="1:26" ht="15.75" x14ac:dyDescent="0.25">
      <c r="A103" s="131"/>
      <c r="B103" s="67"/>
      <c r="C103" s="67"/>
      <c r="D103" s="131"/>
      <c r="E103" s="92"/>
      <c r="F103" s="92"/>
      <c r="G103" s="92"/>
      <c r="H103" s="92"/>
      <c r="I103" s="92"/>
      <c r="J103" s="92"/>
      <c r="K103" s="92"/>
      <c r="L103" s="92"/>
      <c r="M103" s="92"/>
      <c r="N103" s="92"/>
      <c r="O103" s="92"/>
      <c r="P103" s="92"/>
      <c r="Q103" s="92"/>
      <c r="R103" s="92"/>
      <c r="S103" s="92"/>
      <c r="T103" s="92"/>
      <c r="U103" s="92"/>
      <c r="V103" s="92"/>
      <c r="W103" s="92"/>
      <c r="X103" s="92"/>
      <c r="Y103" s="92"/>
    </row>
    <row r="104" spans="1:26" ht="15.75" x14ac:dyDescent="0.25">
      <c r="A104" s="131" t="s">
        <v>164</v>
      </c>
      <c r="B104" s="67"/>
      <c r="C104" s="67"/>
      <c r="D104" s="131"/>
      <c r="E104" s="96">
        <f>IF($G$4=4,D19-(D19*D82/100),IF($G$4=3,D20-(D20*D83/100),IF($G$4=2,D21-(D21*D84/100),0)))</f>
        <v>0</v>
      </c>
      <c r="F104" s="92"/>
      <c r="G104" s="96">
        <f>IF($G$4=4,F19-(F19*F82/100),IF($G$4=3,F20-(F20*F83/100),IF($G$4=2,F21-(F21*F84/100),0)))</f>
        <v>0.99</v>
      </c>
      <c r="H104" s="96"/>
      <c r="I104" s="96">
        <f>IF($G$4=4,H19-(H19*H82/100),IF($G$4=3,H20-(H20*H83/100),IF($G$4=2,H21-(H21*H84/100),0)))</f>
        <v>0.96029999999999993</v>
      </c>
      <c r="J104" s="92"/>
      <c r="K104" s="96">
        <f>IF($G$4=4,J19-(J19*J82/100),IF($G$4=3,J20-(J20*J83/100),IF($G$4=2,J21-(J21*J84/100),0)))</f>
        <v>1.72854</v>
      </c>
      <c r="L104" s="96"/>
      <c r="M104" s="96">
        <f>IF($G$4=4,L19-(L19*L82/100),IF($G$4=3,L20-(L20*L83/100),IF($G$4=2,L21-(L21*L84/100),0)))</f>
        <v>0.97230374999999991</v>
      </c>
      <c r="N104" s="92"/>
      <c r="O104" s="96">
        <f>IF($G$4=4,N19-(N19*N82/100),IF($G$4=3,N20-(N20*N83/100),IF($G$4=2,N21-(N21*N84/100),0)))</f>
        <v>1.1213903250000001</v>
      </c>
      <c r="P104" s="96"/>
      <c r="Q104" s="96">
        <f>IF($G$4=4,P19-(P19*P82/100),IF($G$4=3,P20-(P20*P83/100),IF($G$4=2,P21-(P21*P84/100),0)))</f>
        <v>1.302050843775</v>
      </c>
      <c r="R104" s="92"/>
      <c r="S104" s="96">
        <f>IF($G$4=4,R19-(R19*R82/100),IF($G$4=3,R20-(R20*R83/100),IF($G$4=2,R21-(R21*R84/100),0)))</f>
        <v>1.68116763276</v>
      </c>
      <c r="T104" s="96"/>
      <c r="U104" s="96">
        <f>IF($G$4=4,T19-(T19*T82/100),IF($G$4=3,T20-(T20*T83/100),IF($G$4=2,T21-(T21*T84/100),0)))</f>
        <v>1.6743396102295502</v>
      </c>
      <c r="V104" s="92"/>
      <c r="W104" s="96">
        <f>IF($G$4=4,V19-(V19*V82/100),IF($G$4=3,V20-(V20*V83/100),IF($G$4=2,V21-(V21*V84/100),0)))</f>
        <v>1.6664244735444573</v>
      </c>
      <c r="X104" s="92"/>
      <c r="Y104" s="92"/>
    </row>
    <row r="105" spans="1:26" ht="15.75" x14ac:dyDescent="0.25">
      <c r="A105" s="131" t="s">
        <v>165</v>
      </c>
      <c r="B105" s="67"/>
      <c r="C105" s="67"/>
      <c r="D105" s="131"/>
      <c r="E105" s="95">
        <v>220</v>
      </c>
      <c r="F105" s="95"/>
      <c r="G105" s="95">
        <v>220</v>
      </c>
      <c r="H105" s="95"/>
      <c r="I105" s="95">
        <v>220</v>
      </c>
      <c r="J105" s="95"/>
      <c r="K105" s="95">
        <v>220</v>
      </c>
      <c r="L105" s="95"/>
      <c r="M105" s="95">
        <v>220</v>
      </c>
      <c r="N105" s="95"/>
      <c r="O105" s="95">
        <v>220</v>
      </c>
      <c r="P105" s="95"/>
      <c r="Q105" s="95">
        <v>220</v>
      </c>
      <c r="R105" s="95"/>
      <c r="S105" s="95">
        <v>220</v>
      </c>
      <c r="T105" s="95"/>
      <c r="U105" s="95">
        <v>220</v>
      </c>
      <c r="V105" s="95"/>
      <c r="W105" s="95">
        <v>200</v>
      </c>
      <c r="X105" s="93"/>
      <c r="Y105" s="92"/>
      <c r="Z105" t="s">
        <v>346</v>
      </c>
    </row>
    <row r="106" spans="1:26" ht="15.75" x14ac:dyDescent="0.25">
      <c r="A106" s="131" t="s">
        <v>166</v>
      </c>
      <c r="B106" s="67"/>
      <c r="C106" s="67"/>
      <c r="D106" s="131"/>
      <c r="E106" s="111">
        <v>8</v>
      </c>
      <c r="F106" s="95"/>
      <c r="G106" s="111">
        <v>8</v>
      </c>
      <c r="H106" s="95"/>
      <c r="I106" s="111">
        <v>8</v>
      </c>
      <c r="J106" s="95"/>
      <c r="K106" s="111">
        <v>8</v>
      </c>
      <c r="L106" s="95"/>
      <c r="M106" s="111">
        <v>8</v>
      </c>
      <c r="N106" s="95"/>
      <c r="O106" s="111">
        <v>8</v>
      </c>
      <c r="P106" s="95"/>
      <c r="Q106" s="111">
        <v>8</v>
      </c>
      <c r="R106" s="95"/>
      <c r="S106" s="111">
        <v>8</v>
      </c>
      <c r="T106" s="95"/>
      <c r="U106" s="111">
        <v>8</v>
      </c>
      <c r="V106" s="95"/>
      <c r="W106" s="111">
        <v>8</v>
      </c>
      <c r="X106" s="93"/>
      <c r="Y106" s="92"/>
    </row>
    <row r="107" spans="1:26" ht="15.75" x14ac:dyDescent="0.25">
      <c r="A107" s="131" t="s">
        <v>167</v>
      </c>
      <c r="B107" s="67"/>
      <c r="C107" s="67"/>
      <c r="D107" s="131"/>
      <c r="E107" s="112">
        <f>E105*E106</f>
        <v>1760</v>
      </c>
      <c r="F107" s="92"/>
      <c r="G107" s="112">
        <f>G105*G106</f>
        <v>1760</v>
      </c>
      <c r="H107" s="92"/>
      <c r="I107" s="112">
        <f>I105*I106</f>
        <v>1760</v>
      </c>
      <c r="J107" s="92"/>
      <c r="K107" s="112">
        <f>K105*K106</f>
        <v>1760</v>
      </c>
      <c r="L107" s="92"/>
      <c r="M107" s="112">
        <f>M105*M106</f>
        <v>1760</v>
      </c>
      <c r="N107" s="92"/>
      <c r="O107" s="112">
        <f>O105*O106</f>
        <v>1760</v>
      </c>
      <c r="P107" s="92"/>
      <c r="Q107" s="112">
        <f>Q105*Q106</f>
        <v>1760</v>
      </c>
      <c r="R107" s="92"/>
      <c r="S107" s="112">
        <f>S105*S106</f>
        <v>1760</v>
      </c>
      <c r="T107" s="92"/>
      <c r="U107" s="112">
        <f>U105*U106</f>
        <v>1760</v>
      </c>
      <c r="V107" s="92"/>
      <c r="W107" s="112">
        <f>W105*W106</f>
        <v>1600</v>
      </c>
      <c r="X107" s="92"/>
      <c r="Y107" s="92"/>
    </row>
    <row r="108" spans="1:26" ht="15.75" x14ac:dyDescent="0.25">
      <c r="A108" s="131" t="s">
        <v>168</v>
      </c>
      <c r="B108" s="67"/>
      <c r="C108" s="67"/>
      <c r="D108" s="131"/>
      <c r="E108" s="113">
        <f>(E104*E105*E106)</f>
        <v>0</v>
      </c>
      <c r="F108" s="113"/>
      <c r="G108" s="113">
        <f>(G104*G105*G106)</f>
        <v>1742.4</v>
      </c>
      <c r="H108" s="113"/>
      <c r="I108" s="113">
        <f>(I104*I105*I106)</f>
        <v>1690.1279999999999</v>
      </c>
      <c r="J108" s="113"/>
      <c r="K108" s="113">
        <f>(K104*K105*K106)</f>
        <v>3042.2303999999999</v>
      </c>
      <c r="L108" s="113"/>
      <c r="M108" s="113">
        <f>(M104*M105*M106)</f>
        <v>1711.2545999999998</v>
      </c>
      <c r="N108" s="113"/>
      <c r="O108" s="113">
        <f>(O104*O105*O106)</f>
        <v>1973.6469720000002</v>
      </c>
      <c r="P108" s="113"/>
      <c r="Q108" s="113">
        <f>(Q104*Q105*Q106)</f>
        <v>2291.6094850439999</v>
      </c>
      <c r="R108" s="113"/>
      <c r="S108" s="113">
        <f>(S104*S105*S106)</f>
        <v>2958.8550336576</v>
      </c>
      <c r="T108" s="113"/>
      <c r="U108" s="113">
        <f>(U104*U105*U106)</f>
        <v>2946.8377140040084</v>
      </c>
      <c r="V108" s="113"/>
      <c r="W108" s="113">
        <f>(W104*W105*W106)</f>
        <v>2666.2791576711315</v>
      </c>
      <c r="X108" s="96"/>
      <c r="Y108" s="92"/>
    </row>
    <row r="109" spans="1:26" ht="15.75" x14ac:dyDescent="0.25">
      <c r="A109" s="131"/>
      <c r="B109" s="67"/>
      <c r="C109" s="67"/>
      <c r="D109" s="131"/>
      <c r="E109" s="92"/>
      <c r="F109" s="92"/>
      <c r="G109" s="92"/>
      <c r="H109" s="92"/>
      <c r="I109" s="92"/>
      <c r="J109" s="92"/>
      <c r="K109" s="92"/>
      <c r="L109" s="92"/>
      <c r="M109" s="92"/>
      <c r="N109" s="92"/>
      <c r="O109" s="92"/>
      <c r="P109" s="92"/>
      <c r="Q109" s="92"/>
      <c r="R109" s="92"/>
      <c r="S109" s="92"/>
      <c r="T109" s="92"/>
      <c r="U109" s="92"/>
      <c r="V109" s="92"/>
      <c r="W109" s="92"/>
      <c r="X109" s="92"/>
      <c r="Y109" s="92"/>
    </row>
    <row r="110" spans="1:26" ht="15.75" x14ac:dyDescent="0.25">
      <c r="A110" s="131" t="s">
        <v>169</v>
      </c>
      <c r="B110" s="67"/>
      <c r="C110" s="67"/>
      <c r="D110" s="131"/>
      <c r="E110" s="96">
        <f>(IF(E91&gt;$D$89,E91-$D$89,0))</f>
        <v>0</v>
      </c>
      <c r="F110" s="92"/>
      <c r="G110" s="96">
        <f>(IF(G91&gt;$D$89,G91-$D$89,0))</f>
        <v>0</v>
      </c>
      <c r="H110" s="96"/>
      <c r="I110" s="96">
        <f>(IF(I91&gt;$D$89,I91-$D$89,0))</f>
        <v>0</v>
      </c>
      <c r="J110" s="96"/>
      <c r="K110" s="96">
        <f>(IF(K91&gt;$D$89,K91-$D$89,0))</f>
        <v>0</v>
      </c>
      <c r="L110" s="96"/>
      <c r="M110" s="96">
        <f>(IF(M91&gt;$D$89,M91-$D$89,0))</f>
        <v>0</v>
      </c>
      <c r="N110" s="96"/>
      <c r="O110" s="96">
        <f>(IF(O91&gt;$D$89,O91-$D$89,0))</f>
        <v>0</v>
      </c>
      <c r="P110" s="96"/>
      <c r="Q110" s="96">
        <f>(IF(Q91&gt;$D$89,Q91-$D$89,0))</f>
        <v>0</v>
      </c>
      <c r="R110" s="96"/>
      <c r="S110" s="96">
        <f>(IF(S91&gt;$D$89,S91-$D$89,0))</f>
        <v>0</v>
      </c>
      <c r="T110" s="96"/>
      <c r="U110" s="96">
        <f>(IF(U91&gt;$D$89,U91-$D$89,0))</f>
        <v>0</v>
      </c>
      <c r="V110" s="96"/>
      <c r="W110" s="96">
        <f>(IF(W91&gt;$D$89,W91-$D$89,0))</f>
        <v>0</v>
      </c>
      <c r="X110" s="92"/>
      <c r="Y110" s="92"/>
    </row>
    <row r="111" spans="1:26" ht="15.75" x14ac:dyDescent="0.25">
      <c r="A111" s="131" t="s">
        <v>170</v>
      </c>
      <c r="B111" s="67"/>
      <c r="C111" s="67"/>
      <c r="D111" s="131"/>
      <c r="E111" s="95">
        <v>200</v>
      </c>
      <c r="F111" s="95"/>
      <c r="G111" s="95">
        <v>200</v>
      </c>
      <c r="H111" s="95"/>
      <c r="I111" s="95">
        <v>200</v>
      </c>
      <c r="J111" s="95"/>
      <c r="K111" s="95">
        <v>200</v>
      </c>
      <c r="L111" s="95"/>
      <c r="M111" s="95">
        <v>200</v>
      </c>
      <c r="N111" s="95"/>
      <c r="O111" s="95">
        <v>200</v>
      </c>
      <c r="P111" s="95"/>
      <c r="Q111" s="95">
        <v>200</v>
      </c>
      <c r="R111" s="95"/>
      <c r="S111" s="95">
        <v>250</v>
      </c>
      <c r="T111" s="95"/>
      <c r="U111" s="95">
        <v>250</v>
      </c>
      <c r="V111" s="95"/>
      <c r="W111" s="95">
        <v>250</v>
      </c>
      <c r="X111" s="93"/>
      <c r="Y111" s="92"/>
      <c r="Z111" t="s">
        <v>346</v>
      </c>
    </row>
    <row r="112" spans="1:26" ht="15.75" x14ac:dyDescent="0.25">
      <c r="A112" s="131" t="s">
        <v>166</v>
      </c>
      <c r="B112" s="67"/>
      <c r="C112" s="67"/>
      <c r="D112" s="131"/>
      <c r="E112" s="111">
        <v>8</v>
      </c>
      <c r="F112" s="95"/>
      <c r="G112" s="111">
        <v>8</v>
      </c>
      <c r="H112" s="95"/>
      <c r="I112" s="111">
        <v>8</v>
      </c>
      <c r="J112" s="95"/>
      <c r="K112" s="111">
        <v>8</v>
      </c>
      <c r="L112" s="95"/>
      <c r="M112" s="111">
        <v>8</v>
      </c>
      <c r="N112" s="95"/>
      <c r="O112" s="111">
        <v>8</v>
      </c>
      <c r="P112" s="95"/>
      <c r="Q112" s="111">
        <v>8</v>
      </c>
      <c r="R112" s="95"/>
      <c r="S112" s="111">
        <v>8</v>
      </c>
      <c r="T112" s="95"/>
      <c r="U112" s="111">
        <v>8</v>
      </c>
      <c r="V112" s="95"/>
      <c r="W112" s="111">
        <v>8</v>
      </c>
      <c r="X112" s="93"/>
      <c r="Y112" s="92"/>
    </row>
    <row r="113" spans="1:26" ht="15.75" x14ac:dyDescent="0.25">
      <c r="A113" s="131" t="s">
        <v>167</v>
      </c>
      <c r="B113" s="67"/>
      <c r="C113" s="67"/>
      <c r="D113" s="131"/>
      <c r="E113" s="112">
        <f>E111*E112</f>
        <v>1600</v>
      </c>
      <c r="F113" s="92"/>
      <c r="G113" s="112">
        <f>G111*G112</f>
        <v>1600</v>
      </c>
      <c r="H113" s="92"/>
      <c r="I113" s="112">
        <f>I111*I112</f>
        <v>1600</v>
      </c>
      <c r="J113" s="92"/>
      <c r="K113" s="112">
        <f>K111*K112</f>
        <v>1600</v>
      </c>
      <c r="L113" s="92"/>
      <c r="M113" s="112">
        <f>M111*M112</f>
        <v>1600</v>
      </c>
      <c r="N113" s="92"/>
      <c r="O113" s="112">
        <f>O111*O112</f>
        <v>1600</v>
      </c>
      <c r="P113" s="92"/>
      <c r="Q113" s="112">
        <f>Q111*Q112</f>
        <v>1600</v>
      </c>
      <c r="R113" s="92"/>
      <c r="S113" s="112">
        <f>S111*S112</f>
        <v>2000</v>
      </c>
      <c r="T113" s="92"/>
      <c r="U113" s="112">
        <f>U111*U112</f>
        <v>2000</v>
      </c>
      <c r="V113" s="92"/>
      <c r="W113" s="112">
        <f>W111*W112</f>
        <v>2000</v>
      </c>
      <c r="X113" s="92"/>
      <c r="Y113" s="92"/>
    </row>
    <row r="114" spans="1:26" ht="15.75" x14ac:dyDescent="0.25">
      <c r="A114" s="131" t="s">
        <v>168</v>
      </c>
      <c r="B114" s="67"/>
      <c r="C114" s="67"/>
      <c r="D114" s="131"/>
      <c r="E114" s="113">
        <f>(E110*E111*E112)</f>
        <v>0</v>
      </c>
      <c r="F114" s="113"/>
      <c r="G114" s="113">
        <f>(G110*G111*G112)</f>
        <v>0</v>
      </c>
      <c r="H114" s="113"/>
      <c r="I114" s="113">
        <f>(I110*I111*I112)</f>
        <v>0</v>
      </c>
      <c r="J114" s="113"/>
      <c r="K114" s="113">
        <f>(K110*K111*K112)</f>
        <v>0</v>
      </c>
      <c r="L114" s="113"/>
      <c r="M114" s="113">
        <f>(M110*M111*M112)</f>
        <v>0</v>
      </c>
      <c r="N114" s="113"/>
      <c r="O114" s="113">
        <f>(O110*O111*O112)</f>
        <v>0</v>
      </c>
      <c r="P114" s="113"/>
      <c r="Q114" s="113">
        <f>(Q110*Q111*Q112)</f>
        <v>0</v>
      </c>
      <c r="R114" s="113"/>
      <c r="S114" s="113">
        <f>(S110*S111*S112)</f>
        <v>0</v>
      </c>
      <c r="T114" s="113"/>
      <c r="U114" s="113">
        <f>(U110*U111*U112)</f>
        <v>0</v>
      </c>
      <c r="V114" s="113"/>
      <c r="W114" s="113">
        <f>(W110*W111*W112)</f>
        <v>0</v>
      </c>
      <c r="X114" s="96"/>
      <c r="Y114" s="92"/>
    </row>
    <row r="115" spans="1:26" ht="15.75" x14ac:dyDescent="0.25">
      <c r="A115" s="131"/>
      <c r="B115" s="67"/>
      <c r="C115" s="67"/>
      <c r="D115" s="131"/>
      <c r="E115" s="92"/>
      <c r="F115" s="92"/>
      <c r="G115" s="92"/>
      <c r="H115" s="92"/>
      <c r="I115" s="92"/>
      <c r="J115" s="92"/>
      <c r="K115" s="92"/>
      <c r="L115" s="92"/>
      <c r="M115" s="92"/>
      <c r="N115" s="92"/>
      <c r="O115" s="92"/>
      <c r="P115" s="92"/>
      <c r="Q115" s="92"/>
      <c r="R115" s="92"/>
      <c r="S115" s="92"/>
      <c r="T115" s="92"/>
      <c r="U115" s="92"/>
      <c r="V115" s="92"/>
      <c r="W115" s="92"/>
      <c r="X115" s="92"/>
      <c r="Y115" s="92"/>
    </row>
    <row r="116" spans="1:26" ht="15.75" x14ac:dyDescent="0.25">
      <c r="A116" s="131" t="s">
        <v>171</v>
      </c>
      <c r="B116" s="67"/>
      <c r="C116" s="67"/>
      <c r="D116" s="131"/>
      <c r="E116" s="101">
        <f>E89</f>
        <v>0.75</v>
      </c>
      <c r="F116" s="114"/>
      <c r="G116" s="101">
        <f>G89</f>
        <v>0.63</v>
      </c>
      <c r="H116" s="114"/>
      <c r="I116" s="101">
        <f>I89</f>
        <v>0.67770000000000008</v>
      </c>
      <c r="J116" s="114"/>
      <c r="K116" s="101">
        <f>K89</f>
        <v>0.95108400000000004</v>
      </c>
      <c r="L116" s="114"/>
      <c r="M116" s="101">
        <f>M89</f>
        <v>1.0970643600000001</v>
      </c>
      <c r="N116" s="114"/>
      <c r="O116" s="101">
        <f>O89</f>
        <v>1.0611415944</v>
      </c>
      <c r="P116" s="114"/>
      <c r="Q116" s="101">
        <f>Q89</f>
        <v>1.0625799245759999</v>
      </c>
      <c r="R116" s="114"/>
      <c r="S116" s="101">
        <f>S89</f>
        <v>1.09984830917004</v>
      </c>
      <c r="T116" s="114"/>
      <c r="U116" s="101">
        <f>U89</f>
        <v>1.2051136907963318</v>
      </c>
      <c r="V116" s="114"/>
      <c r="W116" s="101">
        <f>W89</f>
        <v>1.286907737775012</v>
      </c>
      <c r="X116" s="92"/>
      <c r="Y116" s="92"/>
    </row>
    <row r="117" spans="1:26" ht="15.75" x14ac:dyDescent="0.25">
      <c r="A117" s="131" t="s">
        <v>172</v>
      </c>
      <c r="B117" s="67"/>
      <c r="C117" s="67"/>
      <c r="D117" s="131"/>
      <c r="E117" s="95">
        <v>300</v>
      </c>
      <c r="F117" s="95"/>
      <c r="G117" s="95">
        <v>300</v>
      </c>
      <c r="H117" s="95"/>
      <c r="I117" s="95">
        <v>300</v>
      </c>
      <c r="J117" s="95"/>
      <c r="K117" s="95">
        <v>300</v>
      </c>
      <c r="L117" s="95"/>
      <c r="M117" s="95">
        <v>300</v>
      </c>
      <c r="N117" s="95"/>
      <c r="O117" s="95">
        <v>300</v>
      </c>
      <c r="P117" s="95"/>
      <c r="Q117" s="95">
        <v>300</v>
      </c>
      <c r="R117" s="95"/>
      <c r="S117" s="95">
        <v>300</v>
      </c>
      <c r="T117" s="95"/>
      <c r="U117" s="95">
        <v>300</v>
      </c>
      <c r="V117" s="95"/>
      <c r="W117" s="95">
        <v>250</v>
      </c>
      <c r="X117" s="93"/>
      <c r="Y117" s="92"/>
      <c r="Z117" t="s">
        <v>347</v>
      </c>
    </row>
    <row r="118" spans="1:26" ht="15.75" x14ac:dyDescent="0.25">
      <c r="A118" s="131" t="s">
        <v>166</v>
      </c>
      <c r="B118" s="67"/>
      <c r="C118" s="67"/>
      <c r="D118" s="131"/>
      <c r="E118" s="111">
        <v>5</v>
      </c>
      <c r="F118" s="95"/>
      <c r="G118" s="111">
        <v>5</v>
      </c>
      <c r="H118" s="95"/>
      <c r="I118" s="111">
        <v>5</v>
      </c>
      <c r="J118" s="95"/>
      <c r="K118" s="111">
        <v>5</v>
      </c>
      <c r="L118" s="95"/>
      <c r="M118" s="111">
        <v>5</v>
      </c>
      <c r="N118" s="95"/>
      <c r="O118" s="111">
        <v>5</v>
      </c>
      <c r="P118" s="95"/>
      <c r="Q118" s="111">
        <v>5</v>
      </c>
      <c r="R118" s="95"/>
      <c r="S118" s="111">
        <v>5</v>
      </c>
      <c r="T118" s="95"/>
      <c r="U118" s="111">
        <v>5</v>
      </c>
      <c r="V118" s="95"/>
      <c r="W118" s="111">
        <v>5</v>
      </c>
      <c r="X118" s="93"/>
      <c r="Y118" s="92"/>
    </row>
    <row r="119" spans="1:26" ht="15.75" x14ac:dyDescent="0.25">
      <c r="A119" s="131" t="s">
        <v>167</v>
      </c>
      <c r="B119" s="67"/>
      <c r="C119" s="67"/>
      <c r="D119" s="131"/>
      <c r="E119" s="112">
        <f>E117*E118</f>
        <v>1500</v>
      </c>
      <c r="F119" s="92"/>
      <c r="G119" s="112">
        <f>G117*G118</f>
        <v>1500</v>
      </c>
      <c r="H119" s="92"/>
      <c r="I119" s="112">
        <f>I117*I118</f>
        <v>1500</v>
      </c>
      <c r="J119" s="92"/>
      <c r="K119" s="112">
        <f>K117*K118</f>
        <v>1500</v>
      </c>
      <c r="L119" s="92"/>
      <c r="M119" s="112">
        <f>M117*M118</f>
        <v>1500</v>
      </c>
      <c r="N119" s="92"/>
      <c r="O119" s="112">
        <f>O117*O118</f>
        <v>1500</v>
      </c>
      <c r="P119" s="92"/>
      <c r="Q119" s="112">
        <f>Q117*Q118</f>
        <v>1500</v>
      </c>
      <c r="R119" s="92"/>
      <c r="S119" s="112">
        <f>S117*S118</f>
        <v>1500</v>
      </c>
      <c r="T119" s="92"/>
      <c r="U119" s="112">
        <f>U117*U118</f>
        <v>1500</v>
      </c>
      <c r="V119" s="92"/>
      <c r="W119" s="112">
        <f>W117*W118</f>
        <v>1250</v>
      </c>
      <c r="X119" s="92"/>
      <c r="Y119" s="92"/>
    </row>
    <row r="120" spans="1:26" ht="15.75" x14ac:dyDescent="0.25">
      <c r="A120" s="131" t="s">
        <v>168</v>
      </c>
      <c r="B120" s="67"/>
      <c r="C120" s="67"/>
      <c r="D120" s="131"/>
      <c r="E120" s="113">
        <f>(E116*E117*E118)</f>
        <v>1125</v>
      </c>
      <c r="F120" s="113"/>
      <c r="G120" s="113">
        <f>(G116*G117*G118)</f>
        <v>945</v>
      </c>
      <c r="H120" s="113"/>
      <c r="I120" s="113">
        <f>(I116*I117*I118)</f>
        <v>1016.5500000000002</v>
      </c>
      <c r="J120" s="113"/>
      <c r="K120" s="113">
        <f>(K116*K117*K118)</f>
        <v>1426.626</v>
      </c>
      <c r="L120" s="113"/>
      <c r="M120" s="113">
        <f>(M116*M117*M118)</f>
        <v>1645.5965400000002</v>
      </c>
      <c r="N120" s="113"/>
      <c r="O120" s="113">
        <f>(O116*O117*O118)</f>
        <v>1591.7123916</v>
      </c>
      <c r="P120" s="113"/>
      <c r="Q120" s="113">
        <f>(Q116*Q117*Q118)</f>
        <v>1593.8698868639999</v>
      </c>
      <c r="R120" s="113"/>
      <c r="S120" s="113">
        <f>(S116*S117*S118)</f>
        <v>1649.7724637550598</v>
      </c>
      <c r="T120" s="113"/>
      <c r="U120" s="113">
        <f>(U116*U117*U118)</f>
        <v>1807.6705361944978</v>
      </c>
      <c r="V120" s="113"/>
      <c r="W120" s="113">
        <f>(W116*W117*W118)</f>
        <v>1608.634672218765</v>
      </c>
      <c r="X120" s="96"/>
      <c r="Y120" s="92"/>
    </row>
    <row r="121" spans="1:26" ht="15.75" x14ac:dyDescent="0.25">
      <c r="A121" s="131"/>
      <c r="B121" s="67"/>
      <c r="C121" s="67"/>
      <c r="D121" s="131"/>
      <c r="E121" s="92"/>
      <c r="F121" s="92"/>
      <c r="G121" s="92"/>
      <c r="H121" s="92"/>
      <c r="I121" s="92"/>
      <c r="J121" s="92"/>
      <c r="K121" s="92"/>
      <c r="L121" s="92"/>
      <c r="M121" s="92"/>
      <c r="N121" s="92"/>
      <c r="O121" s="92"/>
      <c r="P121" s="92"/>
      <c r="Q121" s="92"/>
      <c r="R121" s="92"/>
      <c r="S121" s="92"/>
      <c r="T121" s="92"/>
      <c r="U121" s="92"/>
      <c r="V121" s="92"/>
      <c r="W121" s="92"/>
      <c r="X121" s="92"/>
      <c r="Y121" s="96"/>
    </row>
    <row r="122" spans="1:26" ht="15.75" x14ac:dyDescent="0.25">
      <c r="A122" s="131" t="s">
        <v>173</v>
      </c>
      <c r="B122" s="67"/>
      <c r="C122" s="67"/>
      <c r="D122" s="131"/>
      <c r="E122" s="101">
        <f>E31-(F22+F15)</f>
        <v>0</v>
      </c>
      <c r="F122" s="101"/>
      <c r="G122" s="101">
        <f>G31-(H22+H15)</f>
        <v>0</v>
      </c>
      <c r="H122" s="101"/>
      <c r="I122" s="101">
        <f>I31-(J22+J15)</f>
        <v>0</v>
      </c>
      <c r="J122" s="101"/>
      <c r="K122" s="101">
        <f>K31-(L22+L15)</f>
        <v>0</v>
      </c>
      <c r="L122" s="101"/>
      <c r="M122" s="101">
        <f>M31-(N22+N15)</f>
        <v>0</v>
      </c>
      <c r="N122" s="101"/>
      <c r="O122" s="101">
        <f>O31-(P22+P15)</f>
        <v>0</v>
      </c>
      <c r="P122" s="101"/>
      <c r="Q122" s="101">
        <f>Q31-(R22+R15)</f>
        <v>0</v>
      </c>
      <c r="R122" s="101"/>
      <c r="S122" s="101">
        <f>S31-(T22+T15)</f>
        <v>0</v>
      </c>
      <c r="T122" s="101"/>
      <c r="U122" s="101">
        <f>U31-(V22+V15)</f>
        <v>0</v>
      </c>
      <c r="V122" s="101"/>
      <c r="W122" s="101">
        <f>W31-(X22+X15)</f>
        <v>0</v>
      </c>
      <c r="X122" s="96"/>
      <c r="Y122" s="92"/>
    </row>
    <row r="123" spans="1:26" ht="15.75" x14ac:dyDescent="0.25">
      <c r="A123" s="131" t="s">
        <v>168</v>
      </c>
      <c r="B123" s="67"/>
      <c r="C123" s="143">
        <v>50</v>
      </c>
      <c r="D123" s="131"/>
      <c r="E123" s="96">
        <f>(E122*$C123)/1000</f>
        <v>0</v>
      </c>
      <c r="F123" s="96"/>
      <c r="G123" s="96">
        <f>(G122*$C123)/1000</f>
        <v>0</v>
      </c>
      <c r="H123" s="96"/>
      <c r="I123" s="96">
        <f>(I122*$C123)/1000</f>
        <v>0</v>
      </c>
      <c r="J123" s="96"/>
      <c r="K123" s="96">
        <f>(K122*$C123)/1000</f>
        <v>0</v>
      </c>
      <c r="L123" s="96"/>
      <c r="M123" s="96">
        <f>(M122*$C123)/1000</f>
        <v>0</v>
      </c>
      <c r="N123" s="96"/>
      <c r="O123" s="96">
        <f>(O122*$C123)/1000</f>
        <v>0</v>
      </c>
      <c r="P123" s="96"/>
      <c r="Q123" s="96">
        <f>(Q122*$C123)/1000</f>
        <v>0</v>
      </c>
      <c r="R123" s="96"/>
      <c r="S123" s="96">
        <f>(S122*$C123)/1000</f>
        <v>0</v>
      </c>
      <c r="T123" s="96"/>
      <c r="U123" s="96">
        <f>(U122*$C123)/1000</f>
        <v>0</v>
      </c>
      <c r="V123" s="96"/>
      <c r="W123" s="96">
        <f>(W122*$C123)/1000</f>
        <v>0</v>
      </c>
      <c r="X123" s="96"/>
      <c r="Y123" s="92"/>
    </row>
    <row r="124" spans="1:26" ht="16.5" thickBot="1" x14ac:dyDescent="0.3">
      <c r="A124" s="67"/>
      <c r="B124" s="67"/>
      <c r="C124" s="143"/>
      <c r="D124" s="131"/>
      <c r="E124" s="96"/>
      <c r="F124" s="96"/>
      <c r="G124" s="96"/>
      <c r="H124" s="96"/>
      <c r="I124" s="96"/>
      <c r="J124" s="96"/>
      <c r="K124" s="96"/>
      <c r="L124" s="96"/>
      <c r="M124" s="96"/>
      <c r="N124" s="96"/>
      <c r="O124" s="96"/>
      <c r="P124" s="96"/>
      <c r="Q124" s="96"/>
      <c r="R124" s="96"/>
      <c r="S124" s="96"/>
      <c r="T124" s="96"/>
      <c r="U124" s="96"/>
      <c r="V124" s="96"/>
      <c r="W124" s="96"/>
      <c r="X124" s="96"/>
      <c r="Y124" s="92"/>
    </row>
    <row r="125" spans="1:26" ht="15.75" x14ac:dyDescent="0.25">
      <c r="A125" s="131" t="s">
        <v>174</v>
      </c>
      <c r="B125" s="67"/>
      <c r="C125" s="144"/>
      <c r="D125" s="145"/>
      <c r="E125" s="115">
        <f>E34</f>
        <v>1125</v>
      </c>
      <c r="F125" s="115"/>
      <c r="G125" s="115">
        <f>G34</f>
        <v>2687.4</v>
      </c>
      <c r="H125" s="115"/>
      <c r="I125" s="115">
        <f>I34</f>
        <v>2706.6779999999999</v>
      </c>
      <c r="J125" s="115"/>
      <c r="K125" s="115">
        <f>K34</f>
        <v>4468.8563999999997</v>
      </c>
      <c r="L125" s="115"/>
      <c r="M125" s="115">
        <f>M34</f>
        <v>3356.8511399999998</v>
      </c>
      <c r="N125" s="115"/>
      <c r="O125" s="115">
        <f>O34</f>
        <v>3565.3593636000005</v>
      </c>
      <c r="P125" s="115"/>
      <c r="Q125" s="115">
        <f>Q34</f>
        <v>3885.4793719079998</v>
      </c>
      <c r="R125" s="115"/>
      <c r="S125" s="115">
        <f>S34</f>
        <v>4608.62749741266</v>
      </c>
      <c r="T125" s="115"/>
      <c r="U125" s="115">
        <f>U34</f>
        <v>4754.5082501985062</v>
      </c>
      <c r="V125" s="115"/>
      <c r="W125" s="115">
        <f>W34</f>
        <v>4274.9138298898961</v>
      </c>
      <c r="X125" s="96"/>
      <c r="Y125" s="92"/>
    </row>
    <row r="126" spans="1:26" ht="15.75" x14ac:dyDescent="0.25">
      <c r="A126" s="131" t="s">
        <v>175</v>
      </c>
      <c r="B126" s="67"/>
      <c r="C126" s="146"/>
      <c r="D126" s="131"/>
      <c r="E126" s="103">
        <f>E125/(E104+E110+E116)</f>
        <v>1500</v>
      </c>
      <c r="F126" s="103"/>
      <c r="G126" s="103">
        <f>G125/(G104+G110+G116)</f>
        <v>1658.8888888888889</v>
      </c>
      <c r="H126" s="103"/>
      <c r="I126" s="103">
        <f>I125/(I104+I110+I116)</f>
        <v>1652.4285714285716</v>
      </c>
      <c r="J126" s="103"/>
      <c r="K126" s="103">
        <f>K125/(K104+K110+K116)</f>
        <v>1667.7177096488163</v>
      </c>
      <c r="L126" s="103"/>
      <c r="M126" s="103">
        <f>M125/(M104+M110+M116)</f>
        <v>1622.1624000961335</v>
      </c>
      <c r="N126" s="103"/>
      <c r="O126" s="103">
        <f>O125/(O104+O110+O116)</f>
        <v>1633.5886462453907</v>
      </c>
      <c r="P126" s="103"/>
      <c r="Q126" s="103">
        <f>Q125/(Q104+Q110+Q116)</f>
        <v>1643.1653617607201</v>
      </c>
      <c r="R126" s="103"/>
      <c r="S126" s="103">
        <f>S125/(S104+S110+S116)</f>
        <v>1657.1740664723584</v>
      </c>
      <c r="T126" s="103"/>
      <c r="U126" s="103">
        <f>U125/(U104+U110+U116)</f>
        <v>1651.1843579837137</v>
      </c>
      <c r="V126" s="103"/>
      <c r="W126" s="103">
        <f>W125/(W104+W110+W116)</f>
        <v>1447.4883027060407</v>
      </c>
      <c r="X126" s="96"/>
      <c r="Y126" s="92"/>
    </row>
    <row r="127" spans="1:26" ht="15.75" x14ac:dyDescent="0.25">
      <c r="A127" s="131" t="s">
        <v>176</v>
      </c>
      <c r="B127" s="67"/>
      <c r="C127" s="146"/>
      <c r="D127" s="131"/>
      <c r="E127" s="96">
        <f>(E104+E110+E116+E122)</f>
        <v>0.75</v>
      </c>
      <c r="F127" s="96"/>
      <c r="G127" s="96">
        <f>(G104+G110+G116+G122)</f>
        <v>1.62</v>
      </c>
      <c r="H127" s="96"/>
      <c r="I127" s="96">
        <f>(I104+I110+I116+I122)</f>
        <v>1.6379999999999999</v>
      </c>
      <c r="J127" s="96"/>
      <c r="K127" s="96">
        <f>(K104+K110+K116+K122)</f>
        <v>2.679624</v>
      </c>
      <c r="L127" s="96"/>
      <c r="M127" s="96">
        <f>(M104+M110+M116+M122)</f>
        <v>2.0693681100000001</v>
      </c>
      <c r="N127" s="96"/>
      <c r="O127" s="96">
        <f>(O104+O110+O116+O122)</f>
        <v>2.1825319194000001</v>
      </c>
      <c r="P127" s="96"/>
      <c r="Q127" s="96">
        <f>(Q104+Q110+Q116+Q122)</f>
        <v>2.3646307683509997</v>
      </c>
      <c r="R127" s="96"/>
      <c r="S127" s="96">
        <f>(S104+S110+S116+S122)</f>
        <v>2.7810159419300398</v>
      </c>
      <c r="T127" s="96"/>
      <c r="U127" s="96">
        <f>(U104+U110+U116+U122)</f>
        <v>2.8794533010258823</v>
      </c>
      <c r="V127" s="96"/>
      <c r="W127" s="96">
        <f>(W104+W110+W116+W122)</f>
        <v>2.9533322113194691</v>
      </c>
      <c r="X127" s="96"/>
      <c r="Y127" s="92"/>
    </row>
    <row r="128" spans="1:26" ht="23.25" x14ac:dyDescent="0.35">
      <c r="A128" s="73"/>
      <c r="B128" s="68"/>
      <c r="C128" s="74"/>
      <c r="D128" s="68"/>
      <c r="E128" s="71"/>
      <c r="F128" s="71"/>
      <c r="G128" s="71"/>
      <c r="H128" s="71"/>
      <c r="I128" s="71"/>
      <c r="J128" s="71"/>
      <c r="K128" s="71"/>
      <c r="L128" s="71"/>
      <c r="M128" s="71"/>
      <c r="N128" s="71"/>
      <c r="O128" s="71"/>
      <c r="P128" s="71"/>
      <c r="Q128" s="71"/>
      <c r="R128" s="71"/>
      <c r="S128" s="71"/>
      <c r="T128" s="71"/>
      <c r="U128" s="71"/>
      <c r="V128" s="71"/>
      <c r="W128" s="71"/>
      <c r="X128" s="71"/>
      <c r="Y128" s="68"/>
    </row>
    <row r="129" spans="1:25" ht="15.75" x14ac:dyDescent="0.25">
      <c r="A129" s="68"/>
      <c r="B129" s="68"/>
      <c r="C129" s="68"/>
      <c r="D129" s="68"/>
      <c r="E129" s="68"/>
      <c r="F129" s="68"/>
      <c r="G129" s="68"/>
      <c r="H129" s="68"/>
      <c r="I129" s="68"/>
      <c r="J129" s="68"/>
      <c r="K129" s="68"/>
      <c r="L129" s="68"/>
      <c r="M129" s="68"/>
      <c r="N129" s="68"/>
      <c r="O129" s="68"/>
      <c r="P129" s="68"/>
      <c r="Q129" s="68"/>
      <c r="R129" s="68"/>
      <c r="S129" s="68"/>
      <c r="T129" s="68"/>
      <c r="U129" s="68"/>
      <c r="V129" s="68"/>
      <c r="W129" s="68"/>
      <c r="X129" s="68"/>
      <c r="Y129" s="68"/>
    </row>
    <row r="130" spans="1:25" ht="15.75" x14ac:dyDescent="0.25">
      <c r="X130" s="70"/>
      <c r="Y130" s="68"/>
    </row>
    <row r="131" spans="1:25" ht="15.75" x14ac:dyDescent="0.25">
      <c r="X131" s="70"/>
      <c r="Y131" s="68"/>
    </row>
    <row r="132" spans="1:25" ht="30" x14ac:dyDescent="0.4">
      <c r="A132" s="158" t="s">
        <v>275</v>
      </c>
      <c r="B132" s="130"/>
      <c r="C132" s="130"/>
      <c r="D132" s="130"/>
      <c r="E132" s="130"/>
      <c r="F132" s="130"/>
      <c r="G132" s="130"/>
      <c r="H132" s="130"/>
      <c r="I132" s="130"/>
      <c r="J132" s="130"/>
      <c r="K132" s="130"/>
      <c r="L132" s="130"/>
      <c r="M132" s="130"/>
      <c r="N132" s="130"/>
      <c r="O132" s="130"/>
      <c r="P132" s="130"/>
      <c r="Q132" s="130"/>
      <c r="R132" s="130"/>
      <c r="S132" s="130"/>
      <c r="T132" s="130"/>
      <c r="U132" s="130"/>
      <c r="V132" s="130"/>
      <c r="W132" s="130"/>
      <c r="X132" s="68"/>
      <c r="Y132" s="68"/>
    </row>
    <row r="133" spans="1:25" ht="16.5" thickBot="1" x14ac:dyDescent="0.3">
      <c r="A133" s="130"/>
      <c r="B133" s="130"/>
      <c r="C133" s="130"/>
      <c r="D133" s="130"/>
      <c r="E133" s="130"/>
      <c r="F133" s="130"/>
      <c r="G133" s="130"/>
      <c r="H133" s="130"/>
      <c r="I133" s="130"/>
      <c r="J133" s="130"/>
      <c r="K133" s="130"/>
      <c r="L133" s="130"/>
      <c r="M133" s="130"/>
      <c r="N133" s="130"/>
      <c r="O133" s="130"/>
      <c r="P133" s="130"/>
      <c r="Q133" s="130"/>
      <c r="R133" s="130"/>
      <c r="S133" s="130"/>
      <c r="T133" s="130"/>
      <c r="U133" s="130"/>
      <c r="V133" s="130"/>
      <c r="W133" s="130"/>
      <c r="X133" s="68"/>
      <c r="Y133" s="68"/>
    </row>
    <row r="134" spans="1:25" ht="15.75" thickBot="1" x14ac:dyDescent="0.3">
      <c r="A134" s="252" t="s">
        <v>45</v>
      </c>
      <c r="B134" s="147"/>
      <c r="C134" s="147"/>
      <c r="D134" s="148"/>
      <c r="E134" s="116">
        <f>+D7</f>
        <v>2014</v>
      </c>
      <c r="F134" s="78"/>
      <c r="G134" s="116">
        <f>+F7</f>
        <v>2015</v>
      </c>
      <c r="H134" s="116"/>
      <c r="I134" s="116">
        <f>+H7</f>
        <v>2016</v>
      </c>
      <c r="J134" s="116"/>
      <c r="K134" s="116">
        <f>+J7</f>
        <v>2017</v>
      </c>
      <c r="L134" s="116"/>
      <c r="M134" s="116">
        <f>+L7</f>
        <v>2018</v>
      </c>
      <c r="N134" s="116"/>
      <c r="O134" s="116">
        <f>+N7</f>
        <v>2019</v>
      </c>
      <c r="P134" s="116"/>
      <c r="Q134" s="116">
        <f>+P7</f>
        <v>2020</v>
      </c>
      <c r="R134" s="116"/>
      <c r="S134" s="116">
        <f>+R7</f>
        <v>2021</v>
      </c>
      <c r="T134" s="116"/>
      <c r="U134" s="116">
        <f>+T7</f>
        <v>2022</v>
      </c>
      <c r="V134" s="116"/>
      <c r="W134" s="116">
        <f>+V7</f>
        <v>2023</v>
      </c>
    </row>
    <row r="135" spans="1:25" ht="15.75" thickBot="1" x14ac:dyDescent="0.3">
      <c r="A135" s="253"/>
      <c r="B135" s="149"/>
      <c r="C135" s="149"/>
      <c r="D135" s="150"/>
      <c r="E135" s="116" t="s">
        <v>46</v>
      </c>
      <c r="F135" s="78"/>
      <c r="G135" s="116" t="s">
        <v>47</v>
      </c>
      <c r="H135" s="116"/>
      <c r="I135" s="116" t="s">
        <v>48</v>
      </c>
      <c r="J135" s="116"/>
      <c r="K135" s="116" t="s">
        <v>49</v>
      </c>
      <c r="L135" s="116"/>
      <c r="M135" s="116" t="s">
        <v>50</v>
      </c>
      <c r="N135" s="116"/>
      <c r="O135" s="116" t="s">
        <v>134</v>
      </c>
      <c r="P135" s="116"/>
      <c r="Q135" s="116" t="s">
        <v>135</v>
      </c>
      <c r="R135" s="116"/>
      <c r="S135" s="116" t="s">
        <v>136</v>
      </c>
      <c r="T135" s="116"/>
      <c r="U135" s="116" t="s">
        <v>137</v>
      </c>
      <c r="V135" s="116"/>
      <c r="W135" s="116" t="s">
        <v>138</v>
      </c>
    </row>
    <row r="136" spans="1:25" ht="15.75" thickBot="1" x14ac:dyDescent="0.3">
      <c r="A136" s="151" t="s">
        <v>68</v>
      </c>
      <c r="B136" s="152"/>
      <c r="C136" s="152"/>
      <c r="D136" s="153"/>
      <c r="E136" s="80">
        <f>+D10</f>
        <v>5</v>
      </c>
      <c r="F136" s="79"/>
      <c r="G136" s="80">
        <f>+F10</f>
        <v>4.2</v>
      </c>
      <c r="H136" s="79"/>
      <c r="I136" s="80">
        <f>+H10</f>
        <v>4.5180000000000007</v>
      </c>
      <c r="J136" s="79"/>
      <c r="K136" s="80">
        <f>+J10</f>
        <v>4.75542</v>
      </c>
      <c r="L136" s="79"/>
      <c r="M136" s="80">
        <f>+L10</f>
        <v>5.4853218000000004</v>
      </c>
      <c r="N136" s="79"/>
      <c r="O136" s="80">
        <f>+N10</f>
        <v>5.3057079720000004</v>
      </c>
      <c r="P136" s="79"/>
      <c r="Q136" s="80">
        <f>+P10</f>
        <v>5.3128996228799998</v>
      </c>
      <c r="R136" s="79"/>
      <c r="S136" s="80">
        <f>+R10</f>
        <v>5.4992415458502002</v>
      </c>
      <c r="T136" s="79"/>
      <c r="U136" s="80">
        <f>+T10</f>
        <v>6.0255684539816583</v>
      </c>
      <c r="V136" s="79"/>
      <c r="W136" s="80">
        <f>+V10</f>
        <v>6.43453868887506</v>
      </c>
    </row>
    <row r="137" spans="1:25" ht="15.75" thickBot="1" x14ac:dyDescent="0.3">
      <c r="A137" s="151" t="s">
        <v>69</v>
      </c>
      <c r="B137" s="152"/>
      <c r="C137" s="152"/>
      <c r="D137" s="153"/>
      <c r="E137" s="80">
        <f>+D25</f>
        <v>1</v>
      </c>
      <c r="F137" s="79"/>
      <c r="G137" s="80">
        <f>+F25</f>
        <v>1</v>
      </c>
      <c r="H137" s="79"/>
      <c r="I137" s="80">
        <f>+H25</f>
        <v>1</v>
      </c>
      <c r="J137" s="79"/>
      <c r="K137" s="80">
        <f>+J25</f>
        <v>1</v>
      </c>
      <c r="L137" s="79"/>
      <c r="M137" s="80">
        <f>+L25</f>
        <v>1</v>
      </c>
      <c r="N137" s="79"/>
      <c r="O137" s="80">
        <f>+N25</f>
        <v>1</v>
      </c>
      <c r="P137" s="79"/>
      <c r="Q137" s="80">
        <f>+P25</f>
        <v>1</v>
      </c>
      <c r="R137" s="79"/>
      <c r="S137" s="80">
        <f>+R25</f>
        <v>1</v>
      </c>
      <c r="T137" s="79"/>
      <c r="U137" s="80">
        <f>+T25</f>
        <v>1</v>
      </c>
      <c r="V137" s="79"/>
      <c r="W137" s="80">
        <f>+V25</f>
        <v>1</v>
      </c>
    </row>
    <row r="138" spans="1:25" ht="15.75" thickBot="1" x14ac:dyDescent="0.3">
      <c r="A138" s="151" t="s">
        <v>181</v>
      </c>
      <c r="B138" s="152"/>
      <c r="C138" s="152"/>
      <c r="D138" s="153"/>
      <c r="E138" s="80">
        <f>+D23-D22</f>
        <v>2</v>
      </c>
      <c r="F138" s="79"/>
      <c r="G138" s="80">
        <f>+F23-F22</f>
        <v>3.76</v>
      </c>
      <c r="H138" s="79"/>
      <c r="I138" s="80">
        <f>+H23-H22</f>
        <v>3.7187999999999999</v>
      </c>
      <c r="J138" s="79"/>
      <c r="K138" s="80">
        <f>+J23-J22</f>
        <v>3.8784149999999991</v>
      </c>
      <c r="L138" s="79"/>
      <c r="M138" s="80">
        <f>+L23-L22</f>
        <v>3.4609005000000002</v>
      </c>
      <c r="N138" s="79"/>
      <c r="O138" s="80">
        <f>+N23-N22</f>
        <v>4.1872623974999996</v>
      </c>
      <c r="P138" s="79"/>
      <c r="Q138" s="80">
        <f>+P23-P22</f>
        <v>4.7437588662749999</v>
      </c>
      <c r="R138" s="79"/>
      <c r="S138" s="80">
        <f>+R23-R22</f>
        <v>5.1077363044950008</v>
      </c>
      <c r="T138" s="79"/>
      <c r="U138" s="80">
        <f>+T23-T22</f>
        <v>5.1436332802107003</v>
      </c>
      <c r="V138" s="79"/>
      <c r="W138" s="80">
        <f>+V23-V22</f>
        <v>5.3375904789861561</v>
      </c>
    </row>
    <row r="139" spans="1:25" ht="15.75" thickBot="1" x14ac:dyDescent="0.3">
      <c r="A139" s="151" t="s">
        <v>182</v>
      </c>
      <c r="B139" s="152"/>
      <c r="C139" s="152"/>
      <c r="D139" s="153"/>
      <c r="E139" s="80">
        <f>+D16-D15-D10</f>
        <v>2</v>
      </c>
      <c r="F139" s="79"/>
      <c r="G139" s="80">
        <f>+F16-F15-F10</f>
        <v>3.7600000000000007</v>
      </c>
      <c r="H139" s="79"/>
      <c r="I139" s="80">
        <f>+H16-H15-H10</f>
        <v>3.7187999999999999</v>
      </c>
      <c r="J139" s="79"/>
      <c r="K139" s="80">
        <f>+J16-J15-J10</f>
        <v>3.8784149999999995</v>
      </c>
      <c r="L139" s="79"/>
      <c r="M139" s="80">
        <f>+L16-L15-L10</f>
        <v>3.4609005000000002</v>
      </c>
      <c r="N139" s="79"/>
      <c r="O139" s="80">
        <f>+N16-N15-N10</f>
        <v>4.1872623974999996</v>
      </c>
      <c r="P139" s="79"/>
      <c r="Q139" s="80">
        <f>+P16-P15-P10</f>
        <v>4.7437588662749999</v>
      </c>
      <c r="R139" s="79"/>
      <c r="S139" s="80">
        <f>+R16-R15-R10</f>
        <v>5.1077363044950008</v>
      </c>
      <c r="T139" s="79"/>
      <c r="U139" s="80">
        <f>+T16-T15-T10</f>
        <v>5.1436332802107012</v>
      </c>
      <c r="V139" s="79"/>
      <c r="W139" s="80">
        <f>+V16-V15-V10</f>
        <v>5.3375904789861561</v>
      </c>
    </row>
    <row r="140" spans="1:25" ht="15.75" thickBot="1" x14ac:dyDescent="0.3">
      <c r="A140" s="151" t="s">
        <v>72</v>
      </c>
      <c r="B140" s="152"/>
      <c r="C140" s="152"/>
      <c r="D140" s="153"/>
      <c r="E140" s="80">
        <f>+D22+D15</f>
        <v>4</v>
      </c>
      <c r="F140" s="79"/>
      <c r="G140" s="80">
        <f>+F22+F15</f>
        <v>2.25</v>
      </c>
      <c r="H140" s="79"/>
      <c r="I140" s="80">
        <f>+H22+H15</f>
        <v>2.5950000000000002</v>
      </c>
      <c r="J140" s="79"/>
      <c r="K140" s="80">
        <f>+J22+J15</f>
        <v>3.0130650000000001</v>
      </c>
      <c r="L140" s="79"/>
      <c r="M140" s="80">
        <f>+L22+L15</f>
        <v>3.8903759999999998</v>
      </c>
      <c r="N140" s="79"/>
      <c r="O140" s="80">
        <f>+N22+N15</f>
        <v>3.8745753300000003</v>
      </c>
      <c r="P140" s="79"/>
      <c r="Q140" s="80">
        <f>+P22+P15</f>
        <v>3.8562589782000005</v>
      </c>
      <c r="R140" s="79"/>
      <c r="S140" s="80">
        <f>+R22+R15</f>
        <v>3.9689702799929996</v>
      </c>
      <c r="T140" s="79"/>
      <c r="U140" s="80">
        <f>+T22+T15</f>
        <v>4.3082455071661201</v>
      </c>
      <c r="V140" s="79"/>
      <c r="W140" s="80">
        <f>+V22+V15</f>
        <v>4.6199448385267248</v>
      </c>
    </row>
    <row r="141" spans="1:25" ht="15.75" thickBot="1" x14ac:dyDescent="0.3">
      <c r="A141" s="154" t="s">
        <v>67</v>
      </c>
      <c r="B141" s="152"/>
      <c r="C141" s="152"/>
      <c r="D141" s="153"/>
      <c r="E141" s="80">
        <f>SUM(E136:E140)</f>
        <v>14</v>
      </c>
      <c r="F141" s="79"/>
      <c r="G141" s="80">
        <f>SUM(G136:G140)</f>
        <v>14.970000000000002</v>
      </c>
      <c r="H141" s="79"/>
      <c r="I141" s="80">
        <f>SUM(I136:I140)</f>
        <v>15.550600000000001</v>
      </c>
      <c r="J141" s="79"/>
      <c r="K141" s="80">
        <f>SUM(K136:K140)</f>
        <v>16.525314999999999</v>
      </c>
      <c r="L141" s="79"/>
      <c r="M141" s="80">
        <f>SUM(M136:M140)</f>
        <v>17.2974988</v>
      </c>
      <c r="N141" s="79"/>
      <c r="O141" s="80">
        <f>SUM(O136:O140)</f>
        <v>18.554808096999999</v>
      </c>
      <c r="P141" s="79"/>
      <c r="Q141" s="80">
        <f>SUM(Q136:Q140)</f>
        <v>19.656676333629999</v>
      </c>
      <c r="R141" s="79"/>
      <c r="S141" s="80">
        <f>SUM(S136:S140)</f>
        <v>20.6836844348332</v>
      </c>
      <c r="T141" s="79"/>
      <c r="U141" s="80">
        <f>SUM(U136:U140)</f>
        <v>21.62108052156918</v>
      </c>
      <c r="V141" s="79"/>
      <c r="W141" s="80">
        <f>SUM(W136:W140)</f>
        <v>22.729664485374098</v>
      </c>
    </row>
    <row r="142" spans="1:25" ht="15.75" thickBot="1" x14ac:dyDescent="0.3">
      <c r="A142" s="151"/>
      <c r="B142" s="152"/>
      <c r="C142" s="152"/>
      <c r="D142" s="153"/>
      <c r="E142" s="80"/>
      <c r="F142" s="79"/>
      <c r="G142" s="80"/>
      <c r="H142" s="79"/>
      <c r="I142" s="80"/>
      <c r="J142" s="79"/>
      <c r="K142" s="80"/>
      <c r="L142" s="79"/>
      <c r="M142" s="80"/>
      <c r="N142" s="79"/>
      <c r="O142" s="80"/>
      <c r="P142" s="79"/>
      <c r="Q142" s="80"/>
      <c r="R142" s="79"/>
      <c r="S142" s="80"/>
      <c r="T142" s="79"/>
      <c r="U142" s="80"/>
      <c r="V142" s="79"/>
      <c r="W142" s="80"/>
    </row>
    <row r="143" spans="1:25" ht="15.75" thickBot="1" x14ac:dyDescent="0.3">
      <c r="A143" s="151" t="s">
        <v>201</v>
      </c>
      <c r="B143" s="152"/>
      <c r="C143" s="152"/>
      <c r="D143" s="153"/>
      <c r="E143" s="80">
        <f>+D89</f>
        <v>15</v>
      </c>
      <c r="F143" s="79"/>
      <c r="G143" s="80">
        <f>+F89</f>
        <v>15</v>
      </c>
      <c r="H143" s="79"/>
      <c r="I143" s="80">
        <f>+H89</f>
        <v>15</v>
      </c>
      <c r="J143" s="79"/>
      <c r="K143" s="80">
        <f>+J89</f>
        <v>20</v>
      </c>
      <c r="L143" s="79"/>
      <c r="M143" s="80">
        <f>+L89</f>
        <v>20</v>
      </c>
      <c r="N143" s="79"/>
      <c r="O143" s="80">
        <f>+N89</f>
        <v>20</v>
      </c>
      <c r="P143" s="79"/>
      <c r="Q143" s="80">
        <f>+P89</f>
        <v>20</v>
      </c>
      <c r="R143" s="79"/>
      <c r="S143" s="80">
        <f>+R89</f>
        <v>20</v>
      </c>
      <c r="T143" s="79"/>
      <c r="U143" s="80">
        <f>+T89</f>
        <v>20</v>
      </c>
      <c r="V143" s="79"/>
      <c r="W143" s="80">
        <f>+V89</f>
        <v>20</v>
      </c>
    </row>
    <row r="144" spans="1:25" ht="15.75" thickBot="1" x14ac:dyDescent="0.3">
      <c r="A144" s="151" t="s">
        <v>184</v>
      </c>
      <c r="B144" s="152"/>
      <c r="C144" s="152"/>
      <c r="D144" s="153"/>
      <c r="E144" s="81">
        <f>+E32</f>
        <v>3.785714285714286</v>
      </c>
      <c r="F144" s="79"/>
      <c r="G144" s="81">
        <f>+G32</f>
        <v>2.634602538410153</v>
      </c>
      <c r="H144" s="79"/>
      <c r="I144" s="81">
        <f>+I32</f>
        <v>2.5744987331678524</v>
      </c>
      <c r="J144" s="79"/>
      <c r="K144" s="81">
        <f>+K32</f>
        <v>2.65391733833818</v>
      </c>
      <c r="L144" s="79"/>
      <c r="M144" s="81">
        <f>+M32</f>
        <v>3.1674979679721091</v>
      </c>
      <c r="N144" s="79"/>
      <c r="O144" s="81">
        <f>+O32</f>
        <v>3.0819980415882609</v>
      </c>
      <c r="P144" s="79"/>
      <c r="Q144" s="81">
        <f>+Q32</f>
        <v>2.937075427401028</v>
      </c>
      <c r="R144" s="79"/>
      <c r="S144" s="81">
        <f>+S32</f>
        <v>2.8516847680521025</v>
      </c>
      <c r="T144" s="79"/>
      <c r="U144" s="81">
        <f>+U32</f>
        <v>2.922645670115954</v>
      </c>
      <c r="V144" s="79"/>
      <c r="W144" s="81">
        <f>+W32</f>
        <v>2.9798574915836449</v>
      </c>
    </row>
    <row r="145" spans="1:23" ht="15.75" thickBot="1" x14ac:dyDescent="0.3">
      <c r="A145" s="151" t="s">
        <v>183</v>
      </c>
      <c r="B145" s="152"/>
      <c r="C145" s="152"/>
      <c r="D145" s="153"/>
      <c r="E145" s="81">
        <f>+E89</f>
        <v>0.75</v>
      </c>
      <c r="F145" s="79"/>
      <c r="G145" s="81">
        <f>+G89</f>
        <v>0.63</v>
      </c>
      <c r="H145" s="79"/>
      <c r="I145" s="81">
        <f>+I89</f>
        <v>0.67770000000000008</v>
      </c>
      <c r="J145" s="79"/>
      <c r="K145" s="81">
        <f>+K89</f>
        <v>0.95108400000000004</v>
      </c>
      <c r="L145" s="79"/>
      <c r="M145" s="81">
        <f>+M89</f>
        <v>1.0970643600000001</v>
      </c>
      <c r="N145" s="79"/>
      <c r="O145" s="81">
        <f>+O89</f>
        <v>1.0611415944</v>
      </c>
      <c r="P145" s="79"/>
      <c r="Q145" s="81">
        <f>+Q89</f>
        <v>1.0625799245759999</v>
      </c>
      <c r="R145" s="79"/>
      <c r="S145" s="81">
        <f>+S89</f>
        <v>1.09984830917004</v>
      </c>
      <c r="T145" s="79"/>
      <c r="U145" s="81">
        <f>+U89</f>
        <v>1.2051136907963318</v>
      </c>
      <c r="V145" s="79"/>
      <c r="W145" s="81">
        <f>+W89</f>
        <v>1.286907737775012</v>
      </c>
    </row>
    <row r="146" spans="1:23" ht="15.75" thickBot="1" x14ac:dyDescent="0.3">
      <c r="A146" s="151" t="s">
        <v>202</v>
      </c>
      <c r="B146" s="152"/>
      <c r="C146" s="152"/>
      <c r="D146" s="153"/>
      <c r="E146" s="81">
        <f>+D63</f>
        <v>1.0869565217391306</v>
      </c>
      <c r="F146" s="79"/>
      <c r="G146" s="81">
        <f>+F63</f>
        <v>0.95895665515918693</v>
      </c>
      <c r="H146" s="79"/>
      <c r="I146" s="81">
        <f>+H63</f>
        <v>0.90389107027933835</v>
      </c>
      <c r="J146" s="79"/>
      <c r="K146" s="81">
        <f>+J63</f>
        <v>0.84854217908007512</v>
      </c>
      <c r="L146" s="79"/>
      <c r="M146" s="81">
        <f>+L63</f>
        <v>0.84874970036589326</v>
      </c>
      <c r="N146" s="79"/>
      <c r="O146" s="81">
        <f>+N63</f>
        <v>0.81038243213973193</v>
      </c>
      <c r="P146" s="79"/>
      <c r="Q146" s="81">
        <f>+P63</f>
        <v>0.76386100469429297</v>
      </c>
      <c r="R146" s="79"/>
      <c r="S146" s="81">
        <f>+R63</f>
        <v>0.71907713802915807</v>
      </c>
      <c r="T146" s="79"/>
      <c r="U146" s="81">
        <f>+T63</f>
        <v>0.68689040184633277</v>
      </c>
      <c r="V146" s="79"/>
      <c r="W146" s="81">
        <f>+V63</f>
        <v>0.65713209183611931</v>
      </c>
    </row>
    <row r="147" spans="1:23" ht="15.75" thickBot="1" x14ac:dyDescent="0.3">
      <c r="A147" s="151"/>
      <c r="B147" s="152"/>
      <c r="C147" s="152"/>
      <c r="D147" s="153"/>
      <c r="E147" s="79"/>
      <c r="F147" s="79"/>
      <c r="G147" s="79"/>
      <c r="H147" s="79"/>
      <c r="I147" s="79"/>
      <c r="J147" s="79"/>
      <c r="K147" s="79"/>
      <c r="L147" s="79"/>
      <c r="M147" s="79"/>
      <c r="N147" s="79"/>
      <c r="O147" s="79"/>
      <c r="P147" s="79"/>
      <c r="Q147" s="79"/>
      <c r="R147" s="79"/>
      <c r="S147" s="79"/>
      <c r="T147" s="79"/>
      <c r="U147" s="79"/>
      <c r="V147" s="79"/>
      <c r="W147" s="79"/>
    </row>
    <row r="148" spans="1:23" ht="15.75" thickBot="1" x14ac:dyDescent="0.3">
      <c r="A148" s="151"/>
      <c r="B148" s="152"/>
      <c r="C148" s="152"/>
      <c r="D148" s="153"/>
      <c r="E148" s="79"/>
      <c r="F148" s="79"/>
      <c r="G148" s="79"/>
      <c r="H148" s="79"/>
      <c r="I148" s="79"/>
      <c r="J148" s="79"/>
      <c r="K148" s="79"/>
      <c r="L148" s="79"/>
      <c r="M148" s="79"/>
      <c r="N148" s="79"/>
      <c r="O148" s="79"/>
      <c r="P148" s="79"/>
      <c r="Q148" s="79"/>
      <c r="R148" s="79"/>
      <c r="S148" s="79"/>
      <c r="T148" s="79"/>
      <c r="U148" s="79"/>
      <c r="V148" s="79"/>
      <c r="W148" s="79"/>
    </row>
    <row r="149" spans="1:23" ht="15.75" thickBot="1" x14ac:dyDescent="0.3">
      <c r="A149" s="155"/>
      <c r="B149" s="152"/>
      <c r="C149" s="152"/>
      <c r="D149" s="153"/>
      <c r="E149" s="79"/>
      <c r="F149" s="79"/>
      <c r="G149" s="79"/>
      <c r="H149" s="79"/>
      <c r="I149" s="79"/>
      <c r="J149" s="79"/>
      <c r="K149" s="79"/>
      <c r="L149" s="79"/>
      <c r="M149" s="79"/>
      <c r="N149" s="79"/>
      <c r="O149" s="79"/>
      <c r="P149" s="79"/>
      <c r="Q149" s="79"/>
      <c r="R149" s="79"/>
      <c r="S149" s="79"/>
      <c r="T149" s="79"/>
      <c r="U149" s="79"/>
      <c r="V149" s="79"/>
      <c r="W149" s="79"/>
    </row>
    <row r="150" spans="1:23" ht="15.75" thickBot="1" x14ac:dyDescent="0.3">
      <c r="A150" s="156" t="s">
        <v>61</v>
      </c>
      <c r="B150" s="152"/>
      <c r="C150" s="152"/>
      <c r="D150" s="153"/>
      <c r="E150" s="79"/>
      <c r="F150" s="79"/>
      <c r="G150" s="79"/>
      <c r="H150" s="79"/>
      <c r="I150" s="79"/>
      <c r="J150" s="79"/>
      <c r="K150" s="79"/>
      <c r="L150" s="79"/>
      <c r="M150" s="79"/>
      <c r="N150" s="79"/>
      <c r="O150" s="79"/>
      <c r="P150" s="79"/>
      <c r="Q150" s="79"/>
      <c r="R150" s="79"/>
      <c r="S150" s="79"/>
      <c r="T150" s="79"/>
      <c r="U150" s="79"/>
      <c r="V150" s="79"/>
      <c r="W150" s="79"/>
    </row>
    <row r="151" spans="1:23" ht="15.75" thickBot="1" x14ac:dyDescent="0.3">
      <c r="A151" s="151" t="s">
        <v>76</v>
      </c>
      <c r="B151" s="152"/>
      <c r="C151" s="152"/>
      <c r="D151" s="153"/>
      <c r="E151" s="80">
        <f>+E127</f>
        <v>0.75</v>
      </c>
      <c r="F151" s="79"/>
      <c r="G151" s="80">
        <f>+G127</f>
        <v>1.62</v>
      </c>
      <c r="H151" s="79"/>
      <c r="I151" s="80">
        <f>+I127</f>
        <v>1.6379999999999999</v>
      </c>
      <c r="J151" s="79"/>
      <c r="K151" s="80">
        <f>+K127</f>
        <v>2.679624</v>
      </c>
      <c r="L151" s="79"/>
      <c r="M151" s="80">
        <f>+M127</f>
        <v>2.0693681100000001</v>
      </c>
      <c r="N151" s="79"/>
      <c r="O151" s="80">
        <f>+O127</f>
        <v>2.1825319194000001</v>
      </c>
      <c r="P151" s="79"/>
      <c r="Q151" s="80">
        <f>+Q127</f>
        <v>2.3646307683509997</v>
      </c>
      <c r="R151" s="79"/>
      <c r="S151" s="80">
        <f>+S127</f>
        <v>2.7810159419300398</v>
      </c>
      <c r="T151" s="79"/>
      <c r="U151" s="80">
        <f>+U127</f>
        <v>2.8794533010258823</v>
      </c>
      <c r="V151" s="79"/>
      <c r="W151" s="80">
        <f>+W127</f>
        <v>2.9533322113194691</v>
      </c>
    </row>
    <row r="152" spans="1:23" ht="15.75" thickBot="1" x14ac:dyDescent="0.3">
      <c r="A152" s="151" t="s">
        <v>77</v>
      </c>
      <c r="B152" s="152"/>
      <c r="C152" s="152"/>
      <c r="D152" s="153"/>
      <c r="E152" s="80">
        <f>+E104</f>
        <v>0</v>
      </c>
      <c r="F152" s="79"/>
      <c r="G152" s="80">
        <f>+G104</f>
        <v>0.99</v>
      </c>
      <c r="H152" s="79"/>
      <c r="I152" s="80">
        <f>+I104</f>
        <v>0.96029999999999993</v>
      </c>
      <c r="J152" s="79"/>
      <c r="K152" s="80">
        <f>+K104</f>
        <v>1.72854</v>
      </c>
      <c r="L152" s="79"/>
      <c r="M152" s="80">
        <f>+M104</f>
        <v>0.97230374999999991</v>
      </c>
      <c r="N152" s="79"/>
      <c r="O152" s="80">
        <f>+O104</f>
        <v>1.1213903250000001</v>
      </c>
      <c r="P152" s="79"/>
      <c r="Q152" s="80">
        <f>+Q104</f>
        <v>1.302050843775</v>
      </c>
      <c r="R152" s="79"/>
      <c r="S152" s="80">
        <f>+S104</f>
        <v>1.68116763276</v>
      </c>
      <c r="T152" s="79"/>
      <c r="U152" s="80">
        <f>+U104</f>
        <v>1.6743396102295502</v>
      </c>
      <c r="V152" s="79"/>
      <c r="W152" s="80">
        <f>+W104</f>
        <v>1.6664244735444573</v>
      </c>
    </row>
    <row r="153" spans="1:23" ht="15.75" thickBot="1" x14ac:dyDescent="0.3">
      <c r="A153" s="151" t="s">
        <v>185</v>
      </c>
      <c r="B153" s="152"/>
      <c r="C153" s="152"/>
      <c r="D153" s="153"/>
      <c r="E153" s="80">
        <f>+E110</f>
        <v>0</v>
      </c>
      <c r="F153" s="79"/>
      <c r="G153" s="80">
        <f>+G110</f>
        <v>0</v>
      </c>
      <c r="H153" s="79"/>
      <c r="I153" s="80">
        <f>+I110</f>
        <v>0</v>
      </c>
      <c r="J153" s="79"/>
      <c r="K153" s="80">
        <f>+K110</f>
        <v>0</v>
      </c>
      <c r="L153" s="79"/>
      <c r="M153" s="80">
        <f>+M110</f>
        <v>0</v>
      </c>
      <c r="N153" s="79"/>
      <c r="O153" s="80">
        <f>+O110</f>
        <v>0</v>
      </c>
      <c r="P153" s="79"/>
      <c r="Q153" s="80">
        <f>+Q110</f>
        <v>0</v>
      </c>
      <c r="R153" s="79"/>
      <c r="S153" s="80">
        <f>+S110</f>
        <v>0</v>
      </c>
      <c r="T153" s="79"/>
      <c r="U153" s="80">
        <f>+U110</f>
        <v>0</v>
      </c>
      <c r="V153" s="79"/>
      <c r="W153" s="80">
        <f>+W110</f>
        <v>0</v>
      </c>
    </row>
    <row r="154" spans="1:23" ht="15.75" thickBot="1" x14ac:dyDescent="0.3">
      <c r="A154" s="151" t="s">
        <v>186</v>
      </c>
      <c r="B154" s="152"/>
      <c r="C154" s="152"/>
      <c r="D154" s="153"/>
      <c r="E154" s="81">
        <f>+E116</f>
        <v>0.75</v>
      </c>
      <c r="F154" s="79"/>
      <c r="G154" s="81">
        <f>+G116</f>
        <v>0.63</v>
      </c>
      <c r="H154" s="79"/>
      <c r="I154" s="81">
        <f>+I116</f>
        <v>0.67770000000000008</v>
      </c>
      <c r="J154" s="79"/>
      <c r="K154" s="81">
        <f>+K116</f>
        <v>0.95108400000000004</v>
      </c>
      <c r="L154" s="79"/>
      <c r="M154" s="81">
        <f>+M116</f>
        <v>1.0970643600000001</v>
      </c>
      <c r="N154" s="79"/>
      <c r="O154" s="81">
        <f>+O116</f>
        <v>1.0611415944</v>
      </c>
      <c r="P154" s="79"/>
      <c r="Q154" s="81">
        <f>+Q116</f>
        <v>1.0625799245759999</v>
      </c>
      <c r="R154" s="79"/>
      <c r="S154" s="81">
        <f>+S116</f>
        <v>1.09984830917004</v>
      </c>
      <c r="T154" s="79"/>
      <c r="U154" s="81">
        <f>+U116</f>
        <v>1.2051136907963318</v>
      </c>
      <c r="V154" s="79"/>
      <c r="W154" s="81">
        <f>+W116</f>
        <v>1.286907737775012</v>
      </c>
    </row>
    <row r="155" spans="1:23" ht="15.75" thickBot="1" x14ac:dyDescent="0.3">
      <c r="A155" s="151" t="s">
        <v>187</v>
      </c>
      <c r="B155" s="152"/>
      <c r="C155" s="152"/>
      <c r="D155" s="153"/>
      <c r="E155" s="81">
        <f>+E122</f>
        <v>0</v>
      </c>
      <c r="F155" s="79"/>
      <c r="G155" s="81">
        <f>+G122</f>
        <v>0</v>
      </c>
      <c r="H155" s="79"/>
      <c r="I155" s="81">
        <f>+I122</f>
        <v>0</v>
      </c>
      <c r="J155" s="79"/>
      <c r="K155" s="81">
        <f>+K122</f>
        <v>0</v>
      </c>
      <c r="L155" s="79"/>
      <c r="M155" s="81">
        <f>+M122</f>
        <v>0</v>
      </c>
      <c r="N155" s="79"/>
      <c r="O155" s="81">
        <f>+O122</f>
        <v>0</v>
      </c>
      <c r="P155" s="79"/>
      <c r="Q155" s="81">
        <f>+Q122</f>
        <v>0</v>
      </c>
      <c r="R155" s="79"/>
      <c r="S155" s="81">
        <f>+S122</f>
        <v>0</v>
      </c>
      <c r="T155" s="79"/>
      <c r="U155" s="81">
        <f>+U122</f>
        <v>0</v>
      </c>
      <c r="V155" s="79"/>
      <c r="W155" s="81">
        <f>+W122</f>
        <v>0</v>
      </c>
    </row>
    <row r="156" spans="1:23" ht="15.75" thickBot="1" x14ac:dyDescent="0.3">
      <c r="A156" s="151"/>
      <c r="B156" s="152"/>
      <c r="C156" s="152"/>
      <c r="D156" s="153"/>
      <c r="E156" s="81"/>
      <c r="F156" s="79"/>
      <c r="G156" s="81"/>
      <c r="H156" s="79"/>
      <c r="I156" s="81"/>
      <c r="J156" s="79"/>
      <c r="K156" s="81"/>
      <c r="L156" s="79"/>
      <c r="M156" s="81"/>
      <c r="N156" s="79"/>
      <c r="O156" s="81"/>
      <c r="P156" s="79"/>
      <c r="Q156" s="81"/>
      <c r="R156" s="79"/>
      <c r="S156" s="81"/>
      <c r="T156" s="79"/>
      <c r="U156" s="81"/>
      <c r="V156" s="79"/>
      <c r="W156" s="81"/>
    </row>
    <row r="157" spans="1:23" ht="15.75" thickBot="1" x14ac:dyDescent="0.3">
      <c r="A157" s="151"/>
      <c r="B157" s="152"/>
      <c r="C157" s="152"/>
      <c r="D157" s="153"/>
      <c r="E157" s="81"/>
      <c r="F157" s="79"/>
      <c r="G157" s="81"/>
      <c r="H157" s="79"/>
      <c r="I157" s="81"/>
      <c r="J157" s="79"/>
      <c r="K157" s="81"/>
      <c r="L157" s="79"/>
      <c r="M157" s="81"/>
      <c r="N157" s="79"/>
      <c r="O157" s="81"/>
      <c r="P157" s="79"/>
      <c r="Q157" s="81"/>
      <c r="R157" s="79"/>
      <c r="S157" s="81"/>
      <c r="T157" s="79"/>
      <c r="U157" s="81"/>
      <c r="V157" s="79"/>
      <c r="W157" s="81"/>
    </row>
    <row r="158" spans="1:23" ht="15.75" thickBot="1" x14ac:dyDescent="0.3">
      <c r="A158" s="151" t="s">
        <v>188</v>
      </c>
      <c r="B158" s="152"/>
      <c r="C158" s="152"/>
      <c r="D158" s="153"/>
      <c r="E158" s="80">
        <f>+E107</f>
        <v>1760</v>
      </c>
      <c r="F158" s="79"/>
      <c r="G158" s="80">
        <f>+G107</f>
        <v>1760</v>
      </c>
      <c r="H158" s="79"/>
      <c r="I158" s="80">
        <f>+I107</f>
        <v>1760</v>
      </c>
      <c r="J158" s="79"/>
      <c r="K158" s="80">
        <f>+K107</f>
        <v>1760</v>
      </c>
      <c r="L158" s="79"/>
      <c r="M158" s="80">
        <f>+M107</f>
        <v>1760</v>
      </c>
      <c r="N158" s="79"/>
      <c r="O158" s="80">
        <f>+O107</f>
        <v>1760</v>
      </c>
      <c r="P158" s="79"/>
      <c r="Q158" s="80">
        <f>+Q107</f>
        <v>1760</v>
      </c>
      <c r="R158" s="79"/>
      <c r="S158" s="80">
        <f>+S107</f>
        <v>1760</v>
      </c>
      <c r="T158" s="79"/>
      <c r="U158" s="80">
        <f>+U107</f>
        <v>1760</v>
      </c>
      <c r="V158" s="79"/>
      <c r="W158" s="80">
        <f>+W107</f>
        <v>1600</v>
      </c>
    </row>
    <row r="159" spans="1:23" ht="15.75" thickBot="1" x14ac:dyDescent="0.3">
      <c r="A159" s="151" t="s">
        <v>189</v>
      </c>
      <c r="B159" s="152"/>
      <c r="C159" s="152"/>
      <c r="D159" s="153"/>
      <c r="E159" s="80">
        <f>+E113</f>
        <v>1600</v>
      </c>
      <c r="F159" s="79"/>
      <c r="G159" s="80">
        <f>+G113</f>
        <v>1600</v>
      </c>
      <c r="H159" s="79"/>
      <c r="I159" s="80">
        <f>+I113</f>
        <v>1600</v>
      </c>
      <c r="J159" s="79"/>
      <c r="K159" s="80">
        <f>+K113</f>
        <v>1600</v>
      </c>
      <c r="L159" s="79"/>
      <c r="M159" s="80">
        <f>+M113</f>
        <v>1600</v>
      </c>
      <c r="N159" s="79"/>
      <c r="O159" s="80">
        <f>+O113</f>
        <v>1600</v>
      </c>
      <c r="P159" s="79"/>
      <c r="Q159" s="80">
        <f>+Q113</f>
        <v>1600</v>
      </c>
      <c r="R159" s="79"/>
      <c r="S159" s="80">
        <f>+S113</f>
        <v>2000</v>
      </c>
      <c r="T159" s="79"/>
      <c r="U159" s="80">
        <f>+U113</f>
        <v>2000</v>
      </c>
      <c r="V159" s="79"/>
      <c r="W159" s="80">
        <f>+W113</f>
        <v>2000</v>
      </c>
    </row>
    <row r="160" spans="1:23" ht="15.75" thickBot="1" x14ac:dyDescent="0.3">
      <c r="A160" s="151" t="s">
        <v>190</v>
      </c>
      <c r="B160" s="152"/>
      <c r="C160" s="152"/>
      <c r="D160" s="153"/>
      <c r="E160" s="80">
        <f>+E119</f>
        <v>1500</v>
      </c>
      <c r="F160" s="79"/>
      <c r="G160" s="80">
        <f>+G119</f>
        <v>1500</v>
      </c>
      <c r="H160" s="79"/>
      <c r="I160" s="80">
        <f>+I119</f>
        <v>1500</v>
      </c>
      <c r="J160" s="79"/>
      <c r="K160" s="80">
        <f>+K119</f>
        <v>1500</v>
      </c>
      <c r="L160" s="79"/>
      <c r="M160" s="80">
        <f>+M119</f>
        <v>1500</v>
      </c>
      <c r="N160" s="79"/>
      <c r="O160" s="80">
        <f>+O119</f>
        <v>1500</v>
      </c>
      <c r="P160" s="79"/>
      <c r="Q160" s="80">
        <f>+Q119</f>
        <v>1500</v>
      </c>
      <c r="R160" s="79"/>
      <c r="S160" s="80">
        <f>+S119</f>
        <v>1500</v>
      </c>
      <c r="T160" s="79"/>
      <c r="U160" s="80">
        <f>+U119</f>
        <v>1500</v>
      </c>
      <c r="V160" s="79"/>
      <c r="W160" s="80">
        <f>+W119</f>
        <v>1250</v>
      </c>
    </row>
    <row r="161" spans="1:23" ht="15.75" thickBot="1" x14ac:dyDescent="0.3">
      <c r="A161" s="151" t="s">
        <v>191</v>
      </c>
      <c r="B161" s="152"/>
      <c r="C161" s="152"/>
      <c r="D161" s="153"/>
      <c r="E161" s="80">
        <f>+$C123</f>
        <v>50</v>
      </c>
      <c r="F161" s="79"/>
      <c r="G161" s="80">
        <f>+$C123</f>
        <v>50</v>
      </c>
      <c r="H161" s="79"/>
      <c r="I161" s="80">
        <f>+$C123</f>
        <v>50</v>
      </c>
      <c r="J161" s="79"/>
      <c r="K161" s="80">
        <f>+$C123</f>
        <v>50</v>
      </c>
      <c r="L161" s="79"/>
      <c r="M161" s="80">
        <f>+$C123</f>
        <v>50</v>
      </c>
      <c r="N161" s="79"/>
      <c r="O161" s="80">
        <f>+$C123</f>
        <v>50</v>
      </c>
      <c r="P161" s="79"/>
      <c r="Q161" s="80">
        <f>+$C123</f>
        <v>50</v>
      </c>
      <c r="R161" s="79"/>
      <c r="S161" s="80">
        <f>+$C123</f>
        <v>50</v>
      </c>
      <c r="T161" s="79"/>
      <c r="U161" s="80">
        <f>+$C123</f>
        <v>50</v>
      </c>
      <c r="V161" s="79"/>
      <c r="W161" s="80">
        <f>+$C123</f>
        <v>50</v>
      </c>
    </row>
    <row r="162" spans="1:23" ht="15.75" thickBot="1" x14ac:dyDescent="0.3">
      <c r="A162" s="151"/>
      <c r="B162" s="152"/>
      <c r="C162" s="152"/>
      <c r="D162" s="153"/>
      <c r="E162" s="81"/>
      <c r="F162" s="79"/>
      <c r="G162" s="81"/>
      <c r="H162" s="79"/>
      <c r="I162" s="81"/>
      <c r="J162" s="79"/>
      <c r="K162" s="81"/>
      <c r="L162" s="79"/>
      <c r="M162" s="81"/>
      <c r="N162" s="79"/>
      <c r="O162" s="81"/>
      <c r="P162" s="79"/>
      <c r="Q162" s="81"/>
      <c r="R162" s="79"/>
      <c r="S162" s="81"/>
      <c r="T162" s="79"/>
      <c r="U162" s="81"/>
      <c r="V162" s="79"/>
      <c r="W162" s="81"/>
    </row>
    <row r="163" spans="1:23" ht="15.75" thickBot="1" x14ac:dyDescent="0.3">
      <c r="A163" s="151"/>
      <c r="B163" s="152"/>
      <c r="C163" s="152"/>
      <c r="D163" s="153"/>
      <c r="E163" s="81"/>
      <c r="F163" s="79"/>
      <c r="G163" s="81"/>
      <c r="H163" s="79"/>
      <c r="I163" s="81"/>
      <c r="J163" s="79"/>
      <c r="K163" s="81"/>
      <c r="L163" s="79"/>
      <c r="M163" s="81"/>
      <c r="N163" s="79"/>
      <c r="O163" s="81"/>
      <c r="P163" s="79"/>
      <c r="Q163" s="81"/>
      <c r="R163" s="79"/>
      <c r="S163" s="81"/>
      <c r="T163" s="79"/>
      <c r="U163" s="81"/>
      <c r="V163" s="79"/>
      <c r="W163" s="81"/>
    </row>
    <row r="164" spans="1:23" ht="15.75" thickBot="1" x14ac:dyDescent="0.3">
      <c r="A164" s="152"/>
      <c r="B164" s="119"/>
      <c r="C164" s="119"/>
      <c r="D164" s="119"/>
      <c r="E164" s="82"/>
      <c r="F164" s="82"/>
      <c r="G164" s="82"/>
      <c r="H164" s="79"/>
      <c r="I164" s="82"/>
      <c r="J164" s="79"/>
      <c r="K164" s="82"/>
      <c r="L164" s="79"/>
      <c r="M164" s="82"/>
      <c r="N164" s="79"/>
      <c r="O164" s="82"/>
      <c r="P164" s="79"/>
      <c r="Q164" s="82"/>
      <c r="R164" s="79"/>
      <c r="S164" s="82"/>
      <c r="T164" s="79"/>
      <c r="U164" s="82"/>
      <c r="V164" s="79"/>
      <c r="W164" s="82"/>
    </row>
    <row r="165" spans="1:23" ht="15.75" thickBot="1" x14ac:dyDescent="0.3">
      <c r="A165" s="151" t="s">
        <v>192</v>
      </c>
      <c r="B165" s="152"/>
      <c r="C165" s="152"/>
      <c r="D165" s="153"/>
      <c r="E165" s="83">
        <f>+E108</f>
        <v>0</v>
      </c>
      <c r="F165" s="79"/>
      <c r="G165" s="83">
        <f>+G108</f>
        <v>1742.4</v>
      </c>
      <c r="H165" s="79"/>
      <c r="I165" s="83">
        <f>+I108</f>
        <v>1690.1279999999999</v>
      </c>
      <c r="J165" s="79"/>
      <c r="K165" s="83">
        <f>+K108</f>
        <v>3042.2303999999999</v>
      </c>
      <c r="L165" s="79"/>
      <c r="M165" s="83">
        <f>+M108</f>
        <v>1711.2545999999998</v>
      </c>
      <c r="N165" s="79"/>
      <c r="O165" s="83">
        <f>+O108</f>
        <v>1973.6469720000002</v>
      </c>
      <c r="P165" s="79"/>
      <c r="Q165" s="83">
        <f>+Q108</f>
        <v>2291.6094850439999</v>
      </c>
      <c r="R165" s="79"/>
      <c r="S165" s="83">
        <f>+S108</f>
        <v>2958.8550336576</v>
      </c>
      <c r="T165" s="79"/>
      <c r="U165" s="83">
        <f>+U108</f>
        <v>2946.8377140040084</v>
      </c>
      <c r="V165" s="79"/>
      <c r="W165" s="83">
        <f>+W108</f>
        <v>2666.2791576711315</v>
      </c>
    </row>
    <row r="166" spans="1:23" ht="15.75" thickBot="1" x14ac:dyDescent="0.3">
      <c r="A166" s="151" t="s">
        <v>193</v>
      </c>
      <c r="B166" s="152"/>
      <c r="C166" s="152"/>
      <c r="D166" s="153"/>
      <c r="E166" s="83">
        <f>+E114</f>
        <v>0</v>
      </c>
      <c r="F166" s="79"/>
      <c r="G166" s="83">
        <f>+G114</f>
        <v>0</v>
      </c>
      <c r="H166" s="79"/>
      <c r="I166" s="83">
        <f>+I114</f>
        <v>0</v>
      </c>
      <c r="J166" s="79"/>
      <c r="K166" s="83">
        <f>+K114</f>
        <v>0</v>
      </c>
      <c r="L166" s="79"/>
      <c r="M166" s="83">
        <f>+M114</f>
        <v>0</v>
      </c>
      <c r="N166" s="79"/>
      <c r="O166" s="83">
        <f>+O114</f>
        <v>0</v>
      </c>
      <c r="P166" s="79"/>
      <c r="Q166" s="83">
        <f>+Q114</f>
        <v>0</v>
      </c>
      <c r="R166" s="79"/>
      <c r="S166" s="83">
        <f>+S114</f>
        <v>0</v>
      </c>
      <c r="T166" s="79"/>
      <c r="U166" s="83">
        <f>+U114</f>
        <v>0</v>
      </c>
      <c r="V166" s="79"/>
      <c r="W166" s="83">
        <f>+W114</f>
        <v>0</v>
      </c>
    </row>
    <row r="167" spans="1:23" ht="15.75" thickBot="1" x14ac:dyDescent="0.3">
      <c r="A167" s="151" t="s">
        <v>194</v>
      </c>
      <c r="B167" s="152"/>
      <c r="C167" s="152"/>
      <c r="D167" s="153"/>
      <c r="E167" s="83">
        <f>+E120</f>
        <v>1125</v>
      </c>
      <c r="F167" s="79"/>
      <c r="G167" s="83">
        <f>+G120</f>
        <v>945</v>
      </c>
      <c r="H167" s="79"/>
      <c r="I167" s="83">
        <f>+I120</f>
        <v>1016.5500000000002</v>
      </c>
      <c r="J167" s="79"/>
      <c r="K167" s="83">
        <f>+K120</f>
        <v>1426.626</v>
      </c>
      <c r="L167" s="79"/>
      <c r="M167" s="83">
        <f>+M120</f>
        <v>1645.5965400000002</v>
      </c>
      <c r="N167" s="79"/>
      <c r="O167" s="83">
        <f>+O120</f>
        <v>1591.7123916</v>
      </c>
      <c r="P167" s="79"/>
      <c r="Q167" s="83">
        <f>+Q120</f>
        <v>1593.8698868639999</v>
      </c>
      <c r="R167" s="79"/>
      <c r="S167" s="83">
        <f>+S120</f>
        <v>1649.7724637550598</v>
      </c>
      <c r="T167" s="79"/>
      <c r="U167" s="83">
        <f>+U120</f>
        <v>1807.6705361944978</v>
      </c>
      <c r="V167" s="79"/>
      <c r="W167" s="83">
        <f>+W120</f>
        <v>1608.634672218765</v>
      </c>
    </row>
    <row r="168" spans="1:23" ht="15.75" thickBot="1" x14ac:dyDescent="0.3">
      <c r="A168" s="151" t="s">
        <v>195</v>
      </c>
      <c r="B168" s="152"/>
      <c r="C168" s="152"/>
      <c r="D168" s="153"/>
      <c r="E168" s="83">
        <f>+E123</f>
        <v>0</v>
      </c>
      <c r="F168" s="79"/>
      <c r="G168" s="83">
        <f>+G123</f>
        <v>0</v>
      </c>
      <c r="H168" s="79"/>
      <c r="I168" s="83">
        <f>+I123</f>
        <v>0</v>
      </c>
      <c r="J168" s="79"/>
      <c r="K168" s="83">
        <f>+K123</f>
        <v>0</v>
      </c>
      <c r="L168" s="79"/>
      <c r="M168" s="83">
        <f>+M123</f>
        <v>0</v>
      </c>
      <c r="N168" s="79"/>
      <c r="O168" s="83">
        <f>+O123</f>
        <v>0</v>
      </c>
      <c r="P168" s="79"/>
      <c r="Q168" s="83">
        <f>+Q123</f>
        <v>0</v>
      </c>
      <c r="R168" s="79"/>
      <c r="S168" s="83">
        <f>+S123</f>
        <v>0</v>
      </c>
      <c r="T168" s="79"/>
      <c r="U168" s="83">
        <f>+U123</f>
        <v>0</v>
      </c>
      <c r="V168" s="79"/>
      <c r="W168" s="83">
        <f>+W123</f>
        <v>0</v>
      </c>
    </row>
    <row r="169" spans="1:23" ht="15.75" thickBot="1" x14ac:dyDescent="0.3">
      <c r="A169" s="151" t="s">
        <v>196</v>
      </c>
      <c r="B169" s="152"/>
      <c r="C169" s="152"/>
      <c r="D169" s="153"/>
      <c r="E169" s="83">
        <f>+E34</f>
        <v>1125</v>
      </c>
      <c r="F169" s="79"/>
      <c r="G169" s="83">
        <f>+G34</f>
        <v>2687.4</v>
      </c>
      <c r="H169" s="79"/>
      <c r="I169" s="83">
        <f>+I34</f>
        <v>2706.6779999999999</v>
      </c>
      <c r="J169" s="79"/>
      <c r="K169" s="83">
        <f>+K34</f>
        <v>4468.8563999999997</v>
      </c>
      <c r="L169" s="79"/>
      <c r="M169" s="83">
        <f>+M34</f>
        <v>3356.8511399999998</v>
      </c>
      <c r="N169" s="79"/>
      <c r="O169" s="83">
        <f>+O34</f>
        <v>3565.3593636000005</v>
      </c>
      <c r="P169" s="79"/>
      <c r="Q169" s="83">
        <f>+Q34</f>
        <v>3885.4793719079998</v>
      </c>
      <c r="R169" s="79"/>
      <c r="S169" s="83">
        <f>+S34</f>
        <v>4608.62749741266</v>
      </c>
      <c r="T169" s="79"/>
      <c r="U169" s="83">
        <f>+U34</f>
        <v>4754.5082501985062</v>
      </c>
      <c r="V169" s="79"/>
      <c r="W169" s="83">
        <f>+W34</f>
        <v>4274.9138298898961</v>
      </c>
    </row>
    <row r="170" spans="1:23" ht="15.75" thickBot="1" x14ac:dyDescent="0.3">
      <c r="A170" s="151"/>
      <c r="B170" s="152"/>
      <c r="C170" s="152"/>
      <c r="D170" s="153"/>
      <c r="E170" s="81"/>
      <c r="F170" s="79"/>
      <c r="G170" s="81"/>
      <c r="H170" s="79"/>
      <c r="I170" s="81"/>
      <c r="J170" s="79"/>
      <c r="K170" s="81"/>
      <c r="L170" s="79"/>
      <c r="M170" s="81"/>
      <c r="N170" s="79"/>
      <c r="O170" s="81"/>
      <c r="P170" s="79"/>
      <c r="Q170" s="81"/>
      <c r="R170" s="79"/>
      <c r="S170" s="81"/>
      <c r="T170" s="79"/>
      <c r="U170" s="81"/>
      <c r="V170" s="79"/>
      <c r="W170" s="81"/>
    </row>
    <row r="171" spans="1:23" ht="15.75" thickBot="1" x14ac:dyDescent="0.3">
      <c r="A171" s="151" t="s">
        <v>197</v>
      </c>
      <c r="B171" s="152"/>
      <c r="C171" s="152"/>
      <c r="D171" s="153"/>
      <c r="E171" s="83">
        <v>0</v>
      </c>
      <c r="F171" s="79"/>
      <c r="G171" s="83">
        <v>2000</v>
      </c>
      <c r="H171" s="79"/>
      <c r="I171" s="83">
        <v>2000</v>
      </c>
      <c r="J171" s="79"/>
      <c r="K171" s="83">
        <v>2000</v>
      </c>
      <c r="L171" s="79"/>
      <c r="M171" s="83">
        <v>2000</v>
      </c>
      <c r="N171" s="79"/>
      <c r="O171" s="83">
        <v>2000</v>
      </c>
      <c r="P171" s="79"/>
      <c r="Q171" s="83">
        <v>2000</v>
      </c>
      <c r="R171" s="79"/>
      <c r="S171" s="83">
        <v>2000</v>
      </c>
      <c r="T171" s="79"/>
      <c r="U171" s="83">
        <v>2000</v>
      </c>
      <c r="V171" s="79"/>
      <c r="W171" s="83">
        <v>2000</v>
      </c>
    </row>
    <row r="172" spans="1:23" ht="15.75" thickBot="1" x14ac:dyDescent="0.3">
      <c r="A172" s="151"/>
      <c r="B172" s="223"/>
      <c r="C172" s="223"/>
      <c r="D172" s="230"/>
      <c r="E172" s="231"/>
      <c r="F172" s="232"/>
      <c r="G172" s="231"/>
      <c r="H172" s="232"/>
      <c r="I172" s="231"/>
      <c r="J172" s="232"/>
      <c r="K172" s="231"/>
      <c r="L172" s="232"/>
      <c r="M172" s="231"/>
      <c r="N172" s="232"/>
      <c r="O172" s="231"/>
      <c r="P172" s="232"/>
      <c r="Q172" s="231"/>
      <c r="R172" s="232"/>
      <c r="S172" s="231"/>
      <c r="T172" s="232"/>
      <c r="U172" s="231"/>
      <c r="V172" s="232"/>
      <c r="W172" s="231"/>
    </row>
    <row r="173" spans="1:23" ht="15.75" thickBot="1" x14ac:dyDescent="0.3">
      <c r="A173" s="151" t="str">
        <f>+A169</f>
        <v>Value Of All Carcasses sold</v>
      </c>
      <c r="B173" s="152"/>
      <c r="C173" s="152"/>
      <c r="D173" s="153"/>
      <c r="E173" s="164">
        <f>+E169</f>
        <v>1125</v>
      </c>
      <c r="F173" s="164"/>
      <c r="G173" s="164">
        <f t="shared" ref="G173:W173" si="0">+G169</f>
        <v>2687.4</v>
      </c>
      <c r="H173" s="164"/>
      <c r="I173" s="164">
        <f t="shared" si="0"/>
        <v>2706.6779999999999</v>
      </c>
      <c r="J173" s="164"/>
      <c r="K173" s="164">
        <f t="shared" si="0"/>
        <v>4468.8563999999997</v>
      </c>
      <c r="L173" s="164"/>
      <c r="M173" s="164">
        <f t="shared" si="0"/>
        <v>3356.8511399999998</v>
      </c>
      <c r="N173" s="164"/>
      <c r="O173" s="164">
        <f t="shared" si="0"/>
        <v>3565.3593636000005</v>
      </c>
      <c r="P173" s="164"/>
      <c r="Q173" s="164">
        <f t="shared" si="0"/>
        <v>3885.4793719079998</v>
      </c>
      <c r="R173" s="164"/>
      <c r="S173" s="164">
        <f t="shared" si="0"/>
        <v>4608.62749741266</v>
      </c>
      <c r="T173" s="164"/>
      <c r="U173" s="164">
        <f t="shared" si="0"/>
        <v>4754.5082501985062</v>
      </c>
      <c r="V173" s="164"/>
      <c r="W173" s="164">
        <f t="shared" si="0"/>
        <v>4274.9138298898961</v>
      </c>
    </row>
    <row r="174" spans="1:23" ht="15.75" thickBot="1" x14ac:dyDescent="0.3">
      <c r="A174" s="152" t="s">
        <v>198</v>
      </c>
      <c r="B174" s="152"/>
      <c r="C174" s="152"/>
      <c r="D174" s="153"/>
      <c r="E174" s="164">
        <f>+E169-E171</f>
        <v>1125</v>
      </c>
      <c r="F174" s="164"/>
      <c r="G174" s="164">
        <f>+G169-G171</f>
        <v>687.40000000000009</v>
      </c>
      <c r="H174" s="164"/>
      <c r="I174" s="164">
        <f>+I169-I171</f>
        <v>706.67799999999988</v>
      </c>
      <c r="J174" s="164"/>
      <c r="K174" s="164">
        <f>+K169-K171</f>
        <v>2468.8563999999997</v>
      </c>
      <c r="L174" s="164"/>
      <c r="M174" s="164">
        <f>+M169-M171</f>
        <v>1356.8511399999998</v>
      </c>
      <c r="N174" s="164"/>
      <c r="O174" s="164">
        <f>+O169-O171</f>
        <v>1565.3593636000005</v>
      </c>
      <c r="P174" s="164"/>
      <c r="Q174" s="164">
        <f>+Q169-Q171</f>
        <v>1885.4793719079998</v>
      </c>
      <c r="R174" s="164"/>
      <c r="S174" s="164">
        <f>+S169-S171</f>
        <v>2608.62749741266</v>
      </c>
      <c r="T174" s="164"/>
      <c r="U174" s="164">
        <f>+U169-U171</f>
        <v>2754.5082501985062</v>
      </c>
      <c r="V174" s="164"/>
      <c r="W174" s="164">
        <f>+W169-W171</f>
        <v>2274.9138298898961</v>
      </c>
    </row>
    <row r="175" spans="1:23" ht="15.75" thickBot="1" x14ac:dyDescent="0.3">
      <c r="A175" s="157" t="s">
        <v>270</v>
      </c>
      <c r="B175" s="152"/>
      <c r="C175" s="152"/>
      <c r="D175" s="153"/>
      <c r="E175" s="162">
        <f>+E151</f>
        <v>0.75</v>
      </c>
      <c r="F175" s="162"/>
      <c r="G175" s="162">
        <f t="shared" ref="G175:W175" si="1">+G151</f>
        <v>1.62</v>
      </c>
      <c r="H175" s="162"/>
      <c r="I175" s="162">
        <f t="shared" si="1"/>
        <v>1.6379999999999999</v>
      </c>
      <c r="J175" s="162"/>
      <c r="K175" s="162">
        <f t="shared" si="1"/>
        <v>2.679624</v>
      </c>
      <c r="L175" s="162"/>
      <c r="M175" s="162">
        <f t="shared" si="1"/>
        <v>2.0693681100000001</v>
      </c>
      <c r="N175" s="162"/>
      <c r="O175" s="162">
        <f t="shared" si="1"/>
        <v>2.1825319194000001</v>
      </c>
      <c r="P175" s="162"/>
      <c r="Q175" s="162">
        <f t="shared" si="1"/>
        <v>2.3646307683509997</v>
      </c>
      <c r="R175" s="162"/>
      <c r="S175" s="162">
        <f t="shared" si="1"/>
        <v>2.7810159419300398</v>
      </c>
      <c r="T175" s="162"/>
      <c r="U175" s="162">
        <f t="shared" si="1"/>
        <v>2.8794533010258823</v>
      </c>
      <c r="V175" s="162"/>
      <c r="W175" s="162">
        <f t="shared" si="1"/>
        <v>2.9533322113194691</v>
      </c>
    </row>
  </sheetData>
  <sheetProtection sheet="1" objects="1" scenarios="1"/>
  <mergeCells count="1">
    <mergeCell ref="A134:A135"/>
  </mergeCells>
  <pageMargins left="0.7" right="0.7" top="0.75" bottom="0.75" header="0.3" footer="0.3"/>
  <pageSetup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37"/>
  <sheetViews>
    <sheetView zoomScale="83" zoomScaleNormal="83" workbookViewId="0">
      <pane ySplit="4965" topLeftCell="A34"/>
      <selection activeCell="D1" sqref="D1"/>
      <selection pane="bottomLeft" activeCell="D34" sqref="D34"/>
    </sheetView>
  </sheetViews>
  <sheetFormatPr defaultRowHeight="15" x14ac:dyDescent="0.25"/>
  <cols>
    <col min="4" max="9" width="15.7109375" customWidth="1"/>
  </cols>
  <sheetData>
    <row r="1" spans="1:10" ht="15.75" x14ac:dyDescent="0.25">
      <c r="A1" s="63"/>
      <c r="B1" s="63"/>
      <c r="C1" s="63"/>
      <c r="D1" s="63"/>
      <c r="E1" s="63"/>
      <c r="F1" s="63"/>
      <c r="G1" s="63"/>
      <c r="H1" s="63"/>
      <c r="I1" s="63"/>
      <c r="J1" s="66"/>
    </row>
    <row r="2" spans="1:10" ht="26.25" x14ac:dyDescent="0.4">
      <c r="A2" s="84" t="s">
        <v>274</v>
      </c>
      <c r="B2" s="63"/>
      <c r="C2" s="63"/>
      <c r="D2" s="63"/>
      <c r="E2" s="63"/>
      <c r="F2" s="63"/>
      <c r="G2" s="63"/>
      <c r="H2" s="63"/>
      <c r="I2" s="63"/>
      <c r="J2" s="66"/>
    </row>
    <row r="3" spans="1:10" ht="15.75" x14ac:dyDescent="0.25">
      <c r="A3" s="187"/>
      <c r="B3" s="187"/>
      <c r="C3" s="187"/>
      <c r="D3" s="187"/>
      <c r="E3" s="165"/>
      <c r="F3" s="165"/>
      <c r="G3" s="165"/>
      <c r="H3" s="165"/>
      <c r="I3" s="165"/>
      <c r="J3" s="66"/>
    </row>
    <row r="4" spans="1:10" ht="15.75" x14ac:dyDescent="0.25">
      <c r="A4" s="188" t="s">
        <v>210</v>
      </c>
      <c r="B4" s="187"/>
      <c r="C4" s="187"/>
      <c r="D4" s="189"/>
      <c r="E4" s="167" t="s">
        <v>212</v>
      </c>
      <c r="F4" s="168" t="s">
        <v>213</v>
      </c>
      <c r="G4" s="168" t="s">
        <v>214</v>
      </c>
      <c r="H4" s="168" t="s">
        <v>215</v>
      </c>
      <c r="I4" s="168" t="s">
        <v>216</v>
      </c>
      <c r="J4" s="66"/>
    </row>
    <row r="5" spans="1:10" ht="15.75" x14ac:dyDescent="0.25">
      <c r="A5" s="187"/>
      <c r="B5" s="187"/>
      <c r="C5" s="187"/>
      <c r="D5" s="187"/>
      <c r="E5" s="172"/>
      <c r="F5" s="172"/>
      <c r="G5" s="172"/>
      <c r="H5" s="172"/>
      <c r="I5" s="172"/>
      <c r="J5" s="66"/>
    </row>
    <row r="6" spans="1:10" ht="15.75" x14ac:dyDescent="0.25">
      <c r="A6" s="187" t="s">
        <v>217</v>
      </c>
      <c r="B6" s="187"/>
      <c r="C6" s="187"/>
      <c r="D6" s="187"/>
      <c r="E6" s="194">
        <v>2000</v>
      </c>
      <c r="F6" s="194">
        <v>4000</v>
      </c>
      <c r="G6" s="194">
        <v>6000</v>
      </c>
      <c r="H6" s="194">
        <v>7000</v>
      </c>
      <c r="I6" s="194">
        <v>8000</v>
      </c>
      <c r="J6" s="66"/>
    </row>
    <row r="7" spans="1:10" ht="15.75" x14ac:dyDescent="0.25">
      <c r="A7" s="187" t="s">
        <v>218</v>
      </c>
      <c r="B7" s="187"/>
      <c r="C7" s="187"/>
      <c r="D7" s="187"/>
      <c r="E7" s="184">
        <f>+E6/365</f>
        <v>5.4794520547945202</v>
      </c>
      <c r="F7" s="184">
        <f>+F6/365</f>
        <v>10.95890410958904</v>
      </c>
      <c r="G7" s="184">
        <f>+G6/365</f>
        <v>16.438356164383563</v>
      </c>
      <c r="H7" s="184">
        <f>+H6/365</f>
        <v>19.17808219178082</v>
      </c>
      <c r="I7" s="184">
        <f>+I6/365</f>
        <v>21.917808219178081</v>
      </c>
      <c r="J7" s="66"/>
    </row>
    <row r="8" spans="1:10" ht="15.75" x14ac:dyDescent="0.25">
      <c r="A8" s="187" t="s">
        <v>219</v>
      </c>
      <c r="B8" s="187"/>
      <c r="C8" s="187"/>
      <c r="D8" s="187"/>
      <c r="E8" s="170">
        <v>0.1</v>
      </c>
      <c r="F8" s="170">
        <v>0.1</v>
      </c>
      <c r="G8" s="170">
        <v>0.1</v>
      </c>
      <c r="H8" s="170">
        <v>0.1</v>
      </c>
      <c r="I8" s="170">
        <v>0.1</v>
      </c>
      <c r="J8" s="66" t="s">
        <v>331</v>
      </c>
    </row>
    <row r="9" spans="1:10" ht="15.75" x14ac:dyDescent="0.25">
      <c r="A9" s="187" t="s">
        <v>220</v>
      </c>
      <c r="B9" s="187"/>
      <c r="C9" s="187"/>
      <c r="D9" s="187"/>
      <c r="E9" s="171">
        <f>(+E5+E7)*E8</f>
        <v>0.54794520547945202</v>
      </c>
      <c r="F9" s="171">
        <f>(+F5+F7)*F8</f>
        <v>1.095890410958904</v>
      </c>
      <c r="G9" s="171">
        <f>(+G5+G7)*G8</f>
        <v>1.6438356164383565</v>
      </c>
      <c r="H9" s="171">
        <f>(+H5+H7)*H8</f>
        <v>1.9178082191780821</v>
      </c>
      <c r="I9" s="171">
        <f>(+I5+I7)*I8</f>
        <v>2.1917808219178081</v>
      </c>
      <c r="J9" s="66"/>
    </row>
    <row r="10" spans="1:10" ht="15.75" x14ac:dyDescent="0.25">
      <c r="A10" s="187" t="s">
        <v>221</v>
      </c>
      <c r="B10" s="187"/>
      <c r="C10" s="187"/>
      <c r="D10" s="187"/>
      <c r="E10" s="172">
        <f>+E5+E7-E9</f>
        <v>4.9315068493150687</v>
      </c>
      <c r="F10" s="172">
        <f>+F5+F7-F9</f>
        <v>9.8630136986301373</v>
      </c>
      <c r="G10" s="172">
        <f>+G5+G7-G9</f>
        <v>14.794520547945208</v>
      </c>
      <c r="H10" s="172">
        <f>+H5+H7-H9</f>
        <v>17.260273972602739</v>
      </c>
      <c r="I10" s="172">
        <f>+I5+I7-I9</f>
        <v>19.726027397260275</v>
      </c>
      <c r="J10" s="66"/>
    </row>
    <row r="11" spans="1:10" ht="15.75" x14ac:dyDescent="0.25">
      <c r="A11" s="187"/>
      <c r="B11" s="187"/>
      <c r="C11" s="187"/>
      <c r="D11" s="187"/>
      <c r="E11" s="180"/>
      <c r="F11" s="180"/>
      <c r="G11" s="180"/>
      <c r="H11" s="180"/>
      <c r="I11" s="180"/>
      <c r="J11" s="66"/>
    </row>
    <row r="12" spans="1:10" ht="15.75" x14ac:dyDescent="0.25">
      <c r="A12" s="187" t="s">
        <v>239</v>
      </c>
      <c r="B12" s="187"/>
      <c r="C12" s="187"/>
      <c r="D12" s="187"/>
      <c r="E12" s="173">
        <f>+E10*365</f>
        <v>1800</v>
      </c>
      <c r="F12" s="173">
        <f>+F10*365</f>
        <v>3600</v>
      </c>
      <c r="G12" s="173">
        <f>+G10*365</f>
        <v>5400.0000000000009</v>
      </c>
      <c r="H12" s="173">
        <f>+H10*365</f>
        <v>6300</v>
      </c>
      <c r="I12" s="173">
        <f>+I10*365</f>
        <v>7200</v>
      </c>
      <c r="J12" s="66" t="s">
        <v>223</v>
      </c>
    </row>
    <row r="13" spans="1:10" ht="15.75" x14ac:dyDescent="0.25">
      <c r="A13" s="187"/>
      <c r="B13" s="187"/>
      <c r="C13" s="187"/>
      <c r="D13" s="187"/>
      <c r="E13" s="172"/>
      <c r="F13" s="172"/>
      <c r="G13" s="172"/>
      <c r="H13" s="172"/>
      <c r="I13" s="172"/>
      <c r="J13" s="66"/>
    </row>
    <row r="14" spans="1:10" ht="15.75" x14ac:dyDescent="0.25">
      <c r="A14" s="187" t="s">
        <v>224</v>
      </c>
      <c r="B14" s="187"/>
      <c r="C14" s="187"/>
      <c r="D14" s="187"/>
      <c r="E14" s="182">
        <v>2</v>
      </c>
      <c r="F14" s="182">
        <v>2</v>
      </c>
      <c r="G14" s="182">
        <v>2</v>
      </c>
      <c r="H14" s="182">
        <v>2</v>
      </c>
      <c r="I14" s="182">
        <v>2</v>
      </c>
      <c r="J14" s="66" t="s">
        <v>225</v>
      </c>
    </row>
    <row r="15" spans="1:10" ht="15.75" x14ac:dyDescent="0.25">
      <c r="A15" s="187" t="s">
        <v>226</v>
      </c>
      <c r="B15" s="187"/>
      <c r="C15" s="187"/>
      <c r="D15" s="187"/>
      <c r="E15" s="170">
        <v>0.75</v>
      </c>
      <c r="F15" s="170">
        <v>0.75</v>
      </c>
      <c r="G15" s="170">
        <v>0.75</v>
      </c>
      <c r="H15" s="170">
        <v>0.75</v>
      </c>
      <c r="I15" s="170">
        <v>0.75</v>
      </c>
      <c r="J15" s="66" t="s">
        <v>227</v>
      </c>
    </row>
    <row r="16" spans="1:10" ht="15.75" x14ac:dyDescent="0.25">
      <c r="A16" s="187" t="s">
        <v>228</v>
      </c>
      <c r="B16" s="187"/>
      <c r="C16" s="187"/>
      <c r="D16" s="187"/>
      <c r="E16" s="195">
        <f>+E14*E15</f>
        <v>1.5</v>
      </c>
      <c r="F16" s="195">
        <f>+F14*F15</f>
        <v>1.5</v>
      </c>
      <c r="G16" s="195">
        <f>+G14*G15</f>
        <v>1.5</v>
      </c>
      <c r="H16" s="195">
        <f>+H14*H15</f>
        <v>1.5</v>
      </c>
      <c r="I16" s="195">
        <f>+I14*I15</f>
        <v>1.5</v>
      </c>
      <c r="J16" s="66"/>
    </row>
    <row r="17" spans="1:10" ht="15.75" x14ac:dyDescent="0.25">
      <c r="A17" s="187"/>
      <c r="B17" s="187"/>
      <c r="C17" s="187"/>
      <c r="D17" s="187"/>
      <c r="E17" s="165"/>
      <c r="F17" s="165"/>
      <c r="G17" s="165"/>
      <c r="H17" s="165"/>
      <c r="I17" s="165"/>
      <c r="J17" s="66"/>
    </row>
    <row r="18" spans="1:10" ht="15.75" x14ac:dyDescent="0.25">
      <c r="A18" s="63"/>
      <c r="B18" s="63"/>
      <c r="C18" s="63"/>
      <c r="D18" s="63"/>
      <c r="E18" s="86"/>
      <c r="F18" s="86"/>
      <c r="G18" s="86"/>
      <c r="H18" s="86"/>
      <c r="I18" s="86"/>
      <c r="J18" s="66"/>
    </row>
    <row r="19" spans="1:10" ht="27.75" x14ac:dyDescent="0.4">
      <c r="A19" s="87" t="s">
        <v>229</v>
      </c>
      <c r="B19" s="63"/>
      <c r="C19" s="63"/>
      <c r="D19" s="63"/>
      <c r="E19" s="88" t="str">
        <f>+E4</f>
        <v>Year 1</v>
      </c>
      <c r="F19" s="88" t="str">
        <f>+F4</f>
        <v>Year 2</v>
      </c>
      <c r="G19" s="88" t="str">
        <f>+G4</f>
        <v>Year 3</v>
      </c>
      <c r="H19" s="88" t="str">
        <f>+H4</f>
        <v>Year 4</v>
      </c>
      <c r="I19" s="88" t="str">
        <f>+I4</f>
        <v>Year 5</v>
      </c>
      <c r="J19" s="66"/>
    </row>
    <row r="20" spans="1:10" ht="15.75" x14ac:dyDescent="0.25">
      <c r="A20" s="188" t="s">
        <v>230</v>
      </c>
      <c r="B20" s="187"/>
      <c r="C20" s="187"/>
      <c r="D20" s="187"/>
      <c r="E20" s="172"/>
      <c r="F20" s="172"/>
      <c r="G20" s="172"/>
      <c r="H20" s="172"/>
      <c r="I20" s="172"/>
      <c r="J20" s="66"/>
    </row>
    <row r="21" spans="1:10" ht="15.75" x14ac:dyDescent="0.25">
      <c r="A21" s="188"/>
      <c r="B21" s="187" t="s">
        <v>126</v>
      </c>
      <c r="C21" s="187"/>
      <c r="D21" s="187"/>
      <c r="E21" s="170">
        <v>0.8</v>
      </c>
      <c r="F21" s="170">
        <v>0.8</v>
      </c>
      <c r="G21" s="170">
        <v>0.8</v>
      </c>
      <c r="H21" s="170">
        <v>0.8</v>
      </c>
      <c r="I21" s="170">
        <v>0.8</v>
      </c>
      <c r="J21" s="66"/>
    </row>
    <row r="22" spans="1:10" ht="15.75" x14ac:dyDescent="0.25">
      <c r="A22" s="188"/>
      <c r="B22" s="90" t="s">
        <v>231</v>
      </c>
      <c r="C22" s="187"/>
      <c r="D22" s="187"/>
      <c r="E22" s="172">
        <f>+E12*E21</f>
        <v>1440</v>
      </c>
      <c r="F22" s="172">
        <f>+F12*F21</f>
        <v>2880</v>
      </c>
      <c r="G22" s="172">
        <f>+G12*G21</f>
        <v>4320.0000000000009</v>
      </c>
      <c r="H22" s="172">
        <f>+H12*H21</f>
        <v>5040</v>
      </c>
      <c r="I22" s="172">
        <f>+I12*I21</f>
        <v>5760</v>
      </c>
      <c r="J22" s="66"/>
    </row>
    <row r="23" spans="1:10" ht="15.75" x14ac:dyDescent="0.25">
      <c r="A23" s="188"/>
      <c r="B23" s="90" t="s">
        <v>232</v>
      </c>
      <c r="C23" s="187"/>
      <c r="D23" s="187"/>
      <c r="E23" s="176">
        <v>5.8</v>
      </c>
      <c r="F23" s="176">
        <v>5.8</v>
      </c>
      <c r="G23" s="176">
        <v>5.8</v>
      </c>
      <c r="H23" s="176">
        <v>5.8</v>
      </c>
      <c r="I23" s="176">
        <v>5.8</v>
      </c>
      <c r="J23" s="66"/>
    </row>
    <row r="24" spans="1:10" ht="15.75" x14ac:dyDescent="0.25">
      <c r="A24" s="188"/>
      <c r="B24" s="90" t="s">
        <v>269</v>
      </c>
      <c r="C24" s="187"/>
      <c r="D24" s="187"/>
      <c r="E24" s="181">
        <f>+E25/E22</f>
        <v>11.6</v>
      </c>
      <c r="F24" s="181">
        <f t="shared" ref="F24:I24" si="0">+F25/F22</f>
        <v>11.6</v>
      </c>
      <c r="G24" s="181">
        <f t="shared" si="0"/>
        <v>11.6</v>
      </c>
      <c r="H24" s="181">
        <f t="shared" si="0"/>
        <v>11.6</v>
      </c>
      <c r="I24" s="181">
        <f t="shared" si="0"/>
        <v>11.6</v>
      </c>
      <c r="J24" s="66"/>
    </row>
    <row r="25" spans="1:10" ht="15.75" x14ac:dyDescent="0.25">
      <c r="A25" s="188"/>
      <c r="B25" s="192" t="s">
        <v>233</v>
      </c>
      <c r="C25" s="187"/>
      <c r="D25" s="187"/>
      <c r="E25" s="177">
        <f>+E22*E14*E23</f>
        <v>16704</v>
      </c>
      <c r="F25" s="177">
        <f>+F22*F14*F23</f>
        <v>33408</v>
      </c>
      <c r="G25" s="177">
        <f>+G22*G14*G23</f>
        <v>50112.000000000007</v>
      </c>
      <c r="H25" s="177">
        <f>+H22*H14*H23</f>
        <v>58464</v>
      </c>
      <c r="I25" s="177">
        <f>+I22*I14*I23</f>
        <v>66816</v>
      </c>
      <c r="J25" s="66"/>
    </row>
    <row r="26" spans="1:10" ht="15.75" x14ac:dyDescent="0.25">
      <c r="A26" s="188"/>
      <c r="B26" s="187"/>
      <c r="C26" s="187"/>
      <c r="D26" s="187"/>
      <c r="E26" s="181"/>
      <c r="F26" s="181"/>
      <c r="G26" s="181"/>
      <c r="H26" s="181"/>
      <c r="I26" s="181"/>
      <c r="J26" s="66"/>
    </row>
    <row r="27" spans="1:10" ht="15.75" x14ac:dyDescent="0.25">
      <c r="A27" s="188" t="s">
        <v>234</v>
      </c>
      <c r="B27" s="187"/>
      <c r="C27" s="187"/>
      <c r="D27" s="187"/>
      <c r="E27" s="179"/>
      <c r="F27" s="179"/>
      <c r="G27" s="179"/>
      <c r="H27" s="179"/>
      <c r="I27" s="179"/>
      <c r="J27" s="66"/>
    </row>
    <row r="28" spans="1:10" ht="15.75" x14ac:dyDescent="0.25">
      <c r="A28" s="188"/>
      <c r="B28" s="187" t="s">
        <v>126</v>
      </c>
      <c r="C28" s="187"/>
      <c r="D28" s="187"/>
      <c r="E28" s="180">
        <f>1-E21</f>
        <v>0.19999999999999996</v>
      </c>
      <c r="F28" s="180">
        <f>1-F21</f>
        <v>0.19999999999999996</v>
      </c>
      <c r="G28" s="180">
        <f>1-G21</f>
        <v>0.19999999999999996</v>
      </c>
      <c r="H28" s="180">
        <f>1-H21</f>
        <v>0.19999999999999996</v>
      </c>
      <c r="I28" s="180">
        <f>1-I21</f>
        <v>0.19999999999999996</v>
      </c>
      <c r="J28" s="66"/>
    </row>
    <row r="29" spans="1:10" ht="15.75" x14ac:dyDescent="0.25">
      <c r="A29" s="188"/>
      <c r="B29" s="90" t="s">
        <v>231</v>
      </c>
      <c r="C29" s="187"/>
      <c r="D29" s="187"/>
      <c r="E29" s="172">
        <f>+E12*E28</f>
        <v>359.99999999999994</v>
      </c>
      <c r="F29" s="172">
        <f>+F12*F28</f>
        <v>719.99999999999989</v>
      </c>
      <c r="G29" s="172">
        <f>+G12*G28</f>
        <v>1080</v>
      </c>
      <c r="H29" s="172">
        <f>+H12*H28</f>
        <v>1259.9999999999998</v>
      </c>
      <c r="I29" s="172">
        <f>+I12*I28</f>
        <v>1439.9999999999998</v>
      </c>
      <c r="J29" s="66"/>
    </row>
    <row r="30" spans="1:10" ht="15.75" x14ac:dyDescent="0.25">
      <c r="A30" s="188"/>
      <c r="B30" s="90" t="s">
        <v>235</v>
      </c>
      <c r="C30" s="187"/>
      <c r="D30" s="187"/>
      <c r="E30" s="176">
        <v>8</v>
      </c>
      <c r="F30" s="176">
        <v>8</v>
      </c>
      <c r="G30" s="176">
        <v>8</v>
      </c>
      <c r="H30" s="176">
        <v>8</v>
      </c>
      <c r="I30" s="176">
        <v>8</v>
      </c>
      <c r="J30" s="66"/>
    </row>
    <row r="31" spans="1:10" ht="15.75" x14ac:dyDescent="0.25">
      <c r="A31" s="188"/>
      <c r="B31" s="90" t="s">
        <v>269</v>
      </c>
      <c r="C31" s="187"/>
      <c r="D31" s="187"/>
      <c r="E31" s="181">
        <f>+E32/E29</f>
        <v>12</v>
      </c>
      <c r="F31" s="181">
        <f t="shared" ref="F31" si="1">+F32/F29</f>
        <v>12</v>
      </c>
      <c r="G31" s="181">
        <f t="shared" ref="G31" si="2">+G32/G29</f>
        <v>12</v>
      </c>
      <c r="H31" s="181">
        <f t="shared" ref="H31" si="3">+H32/H29</f>
        <v>12</v>
      </c>
      <c r="I31" s="181">
        <f t="shared" ref="I31" si="4">+I32/I29</f>
        <v>12</v>
      </c>
      <c r="J31" s="66"/>
    </row>
    <row r="32" spans="1:10" ht="15.75" x14ac:dyDescent="0.25">
      <c r="A32" s="188"/>
      <c r="B32" s="192" t="s">
        <v>233</v>
      </c>
      <c r="C32" s="187"/>
      <c r="D32" s="187"/>
      <c r="E32" s="177">
        <f>+E29*E16*E30</f>
        <v>4319.9999999999991</v>
      </c>
      <c r="F32" s="177">
        <f>+F29*F16*F30</f>
        <v>8639.9999999999982</v>
      </c>
      <c r="G32" s="177">
        <f>+G29*G16*G30</f>
        <v>12960</v>
      </c>
      <c r="H32" s="177">
        <f>+H29*H16*H30</f>
        <v>15119.999999999996</v>
      </c>
      <c r="I32" s="177">
        <f>+I29*I16*I30</f>
        <v>17279.999999999996</v>
      </c>
      <c r="J32" s="66"/>
    </row>
    <row r="33" spans="1:10" ht="15.75" x14ac:dyDescent="0.25">
      <c r="A33" s="188"/>
      <c r="B33" s="193"/>
      <c r="C33" s="187"/>
      <c r="D33" s="187"/>
      <c r="E33" s="179"/>
      <c r="F33" s="179"/>
      <c r="G33" s="179"/>
      <c r="H33" s="179"/>
      <c r="I33" s="179"/>
      <c r="J33" s="66"/>
    </row>
    <row r="34" spans="1:10" ht="15.75" x14ac:dyDescent="0.25">
      <c r="A34" s="188" t="s">
        <v>237</v>
      </c>
      <c r="B34" s="187"/>
      <c r="C34" s="187"/>
      <c r="D34" s="187"/>
      <c r="E34" s="179"/>
      <c r="F34" s="179"/>
      <c r="G34" s="179"/>
      <c r="H34" s="179"/>
      <c r="I34" s="179"/>
      <c r="J34" s="66"/>
    </row>
    <row r="35" spans="1:10" ht="15.75" x14ac:dyDescent="0.25">
      <c r="A35" s="187" t="s">
        <v>238</v>
      </c>
      <c r="B35" s="187"/>
      <c r="C35" s="187"/>
      <c r="D35" s="187"/>
      <c r="E35" s="183">
        <f>+E25+E32</f>
        <v>21024</v>
      </c>
      <c r="F35" s="183">
        <f>+F25+F32</f>
        <v>42048</v>
      </c>
      <c r="G35" s="183">
        <f>+G25+G32</f>
        <v>63072.000000000007</v>
      </c>
      <c r="H35" s="183">
        <f>+H25+H32</f>
        <v>73584</v>
      </c>
      <c r="I35" s="183">
        <f>+I25+I32</f>
        <v>84096</v>
      </c>
      <c r="J35" s="66"/>
    </row>
    <row r="36" spans="1:10" ht="15.75" x14ac:dyDescent="0.25">
      <c r="A36" s="187" t="s">
        <v>270</v>
      </c>
      <c r="B36" s="187"/>
      <c r="C36" s="187"/>
      <c r="D36" s="187"/>
      <c r="E36" s="173">
        <f>+E12</f>
        <v>1800</v>
      </c>
      <c r="F36" s="173">
        <f t="shared" ref="F36:I36" si="5">+F12</f>
        <v>3600</v>
      </c>
      <c r="G36" s="173">
        <f t="shared" si="5"/>
        <v>5400.0000000000009</v>
      </c>
      <c r="H36" s="173">
        <f t="shared" si="5"/>
        <v>6300</v>
      </c>
      <c r="I36" s="173">
        <f t="shared" si="5"/>
        <v>7200</v>
      </c>
      <c r="J36" s="66"/>
    </row>
    <row r="37" spans="1:10" ht="15.75" x14ac:dyDescent="0.25">
      <c r="A37" s="85"/>
      <c r="B37" s="85"/>
      <c r="C37" s="85"/>
      <c r="D37" s="85"/>
      <c r="E37" s="89"/>
      <c r="F37" s="91"/>
      <c r="G37" s="91"/>
      <c r="H37" s="91"/>
      <c r="I37" s="91"/>
      <c r="J37" s="66"/>
    </row>
  </sheetData>
  <sheetProtection sheet="1" objects="1" scenarios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M50"/>
  <sheetViews>
    <sheetView zoomScale="83" zoomScaleNormal="83" workbookViewId="0">
      <pane ySplit="4725" topLeftCell="A46"/>
      <selection activeCell="G7" sqref="G7"/>
      <selection pane="bottomLeft" activeCell="D46" sqref="D46"/>
    </sheetView>
  </sheetViews>
  <sheetFormatPr defaultColWidth="15.7109375" defaultRowHeight="15" x14ac:dyDescent="0.25"/>
  <cols>
    <col min="1" max="3" width="10.7109375" customWidth="1"/>
  </cols>
  <sheetData>
    <row r="1" spans="1:13" ht="15.75" x14ac:dyDescent="0.25">
      <c r="A1" s="63"/>
      <c r="B1" s="63"/>
      <c r="C1" s="63"/>
      <c r="D1" s="63"/>
      <c r="E1" s="63"/>
      <c r="F1" s="63"/>
      <c r="G1" s="63"/>
      <c r="H1" s="63"/>
      <c r="I1" s="63"/>
      <c r="J1" s="66"/>
      <c r="K1" s="66"/>
      <c r="L1" s="66"/>
      <c r="M1" s="66"/>
    </row>
    <row r="2" spans="1:13" ht="26.25" x14ac:dyDescent="0.4">
      <c r="A2" s="84" t="s">
        <v>272</v>
      </c>
      <c r="B2" s="63"/>
      <c r="C2" s="63"/>
      <c r="D2" s="63"/>
      <c r="E2" s="63"/>
      <c r="F2" s="63"/>
      <c r="G2" s="63"/>
      <c r="H2" s="63"/>
      <c r="I2" s="63"/>
      <c r="J2" s="66"/>
      <c r="K2" s="66"/>
      <c r="L2" s="66"/>
      <c r="M2" s="66"/>
    </row>
    <row r="3" spans="1:13" ht="15.75" x14ac:dyDescent="0.25">
      <c r="A3" s="69"/>
      <c r="B3" s="64"/>
      <c r="C3" s="64"/>
      <c r="D3" s="64"/>
      <c r="E3" s="66"/>
      <c r="F3" s="66"/>
      <c r="G3" s="66"/>
      <c r="H3" s="66"/>
      <c r="I3" s="66"/>
      <c r="J3" s="66"/>
      <c r="K3" s="66"/>
      <c r="L3" s="66"/>
      <c r="M3" s="66"/>
    </row>
    <row r="4" spans="1:13" ht="15.75" x14ac:dyDescent="0.25">
      <c r="A4" s="186" t="s">
        <v>208</v>
      </c>
      <c r="B4" s="187"/>
      <c r="C4" s="187"/>
      <c r="D4" s="187"/>
      <c r="E4" s="165"/>
      <c r="F4" s="166">
        <v>0</v>
      </c>
      <c r="G4" s="165"/>
      <c r="H4" s="165"/>
      <c r="I4" s="165"/>
      <c r="J4" s="66"/>
      <c r="K4" s="66"/>
      <c r="L4" s="66"/>
      <c r="M4" s="66"/>
    </row>
    <row r="5" spans="1:13" ht="15.75" x14ac:dyDescent="0.25">
      <c r="A5" s="187" t="s">
        <v>256</v>
      </c>
      <c r="B5" s="187"/>
      <c r="C5" s="187"/>
      <c r="D5" s="187"/>
      <c r="E5" s="165"/>
      <c r="F5" s="165"/>
      <c r="G5" s="165"/>
      <c r="H5" s="165"/>
      <c r="I5" s="165"/>
      <c r="J5" s="66"/>
      <c r="K5" s="66"/>
      <c r="L5" s="66"/>
      <c r="M5" s="66"/>
    </row>
    <row r="6" spans="1:13" ht="15.75" x14ac:dyDescent="0.25">
      <c r="A6" s="187" t="s">
        <v>287</v>
      </c>
      <c r="B6" s="187"/>
      <c r="C6" s="187"/>
      <c r="D6" s="187"/>
      <c r="E6" s="165"/>
      <c r="F6" s="165"/>
      <c r="G6" s="165"/>
      <c r="H6" s="165"/>
      <c r="I6" s="165"/>
      <c r="J6" s="66"/>
      <c r="K6" s="66"/>
      <c r="L6" s="66"/>
      <c r="M6" s="66"/>
    </row>
    <row r="7" spans="1:13" ht="15.75" x14ac:dyDescent="0.25">
      <c r="A7" s="187" t="s">
        <v>209</v>
      </c>
      <c r="B7" s="187"/>
      <c r="C7" s="187"/>
      <c r="D7" s="187"/>
      <c r="E7" s="165"/>
      <c r="F7" s="165"/>
      <c r="G7" s="165"/>
      <c r="H7" s="165"/>
      <c r="I7" s="165"/>
      <c r="J7" s="66"/>
      <c r="K7" s="66"/>
      <c r="L7" s="66"/>
      <c r="M7" s="66"/>
    </row>
    <row r="8" spans="1:13" ht="15.75" x14ac:dyDescent="0.25">
      <c r="A8" s="187"/>
      <c r="B8" s="187"/>
      <c r="C8" s="187"/>
      <c r="D8" s="187"/>
      <c r="E8" s="165"/>
      <c r="F8" s="165"/>
      <c r="G8" s="165"/>
      <c r="H8" s="165"/>
      <c r="I8" s="165"/>
      <c r="J8" s="66"/>
      <c r="K8" s="66"/>
      <c r="L8" s="66"/>
      <c r="M8" s="66"/>
    </row>
    <row r="9" spans="1:13" ht="15.75" x14ac:dyDescent="0.25">
      <c r="A9" s="188" t="s">
        <v>210</v>
      </c>
      <c r="B9" s="187"/>
      <c r="C9" s="187"/>
      <c r="D9" s="189" t="s">
        <v>211</v>
      </c>
      <c r="E9" s="167" t="s">
        <v>212</v>
      </c>
      <c r="F9" s="168" t="s">
        <v>213</v>
      </c>
      <c r="G9" s="168" t="s">
        <v>214</v>
      </c>
      <c r="H9" s="168" t="s">
        <v>215</v>
      </c>
      <c r="I9" s="168" t="s">
        <v>216</v>
      </c>
      <c r="J9" s="66"/>
      <c r="K9" s="66"/>
      <c r="L9" s="66"/>
      <c r="M9" s="66"/>
    </row>
    <row r="10" spans="1:13" ht="15.75" x14ac:dyDescent="0.25">
      <c r="A10" s="187" t="s">
        <v>240</v>
      </c>
      <c r="B10" s="187"/>
      <c r="C10" s="187"/>
      <c r="D10" s="187"/>
      <c r="E10" s="169">
        <v>100</v>
      </c>
      <c r="F10" s="169">
        <v>100</v>
      </c>
      <c r="G10" s="169">
        <v>100</v>
      </c>
      <c r="H10" s="169">
        <v>100</v>
      </c>
      <c r="I10" s="169">
        <v>100</v>
      </c>
      <c r="J10" s="66" t="s">
        <v>241</v>
      </c>
      <c r="K10" s="66"/>
      <c r="L10" s="66"/>
      <c r="M10" s="66"/>
    </row>
    <row r="11" spans="1:13" ht="15.75" x14ac:dyDescent="0.25">
      <c r="A11" s="187" t="s">
        <v>242</v>
      </c>
      <c r="B11" s="187"/>
      <c r="C11" s="187"/>
      <c r="D11" s="187"/>
      <c r="E11" s="170">
        <v>0.8</v>
      </c>
      <c r="F11" s="170">
        <v>0.8</v>
      </c>
      <c r="G11" s="170">
        <v>0.8</v>
      </c>
      <c r="H11" s="170">
        <v>0.8</v>
      </c>
      <c r="I11" s="170">
        <v>0.8</v>
      </c>
      <c r="J11" s="66" t="s">
        <v>281</v>
      </c>
      <c r="K11" s="66"/>
      <c r="L11" s="66"/>
      <c r="M11" s="66"/>
    </row>
    <row r="12" spans="1:13" ht="15.75" x14ac:dyDescent="0.25">
      <c r="A12" s="187" t="s">
        <v>243</v>
      </c>
      <c r="B12" s="187"/>
      <c r="C12" s="187"/>
      <c r="D12" s="187"/>
      <c r="E12" s="172">
        <f>+E10*E11</f>
        <v>80</v>
      </c>
      <c r="F12" s="172">
        <f>+F10*F11</f>
        <v>80</v>
      </c>
      <c r="G12" s="172">
        <f>+G10*G11</f>
        <v>80</v>
      </c>
      <c r="H12" s="172">
        <f>+H10*H11</f>
        <v>80</v>
      </c>
      <c r="I12" s="172">
        <f>+I10*I11</f>
        <v>80</v>
      </c>
      <c r="J12" s="66"/>
      <c r="K12" s="66"/>
      <c r="L12" s="66"/>
      <c r="M12" s="66"/>
    </row>
    <row r="13" spans="1:13" ht="15.75" x14ac:dyDescent="0.25">
      <c r="A13" s="187" t="s">
        <v>282</v>
      </c>
      <c r="B13" s="187"/>
      <c r="C13" s="187"/>
      <c r="D13" s="187"/>
      <c r="E13" s="170">
        <v>0.02</v>
      </c>
      <c r="F13" s="170">
        <v>0.02</v>
      </c>
      <c r="G13" s="170">
        <v>0.02</v>
      </c>
      <c r="H13" s="170">
        <v>0.02</v>
      </c>
      <c r="I13" s="170">
        <v>0.02</v>
      </c>
      <c r="J13" s="66"/>
      <c r="K13" s="66"/>
      <c r="L13" s="66"/>
      <c r="M13" s="66"/>
    </row>
    <row r="14" spans="1:13" ht="15.75" x14ac:dyDescent="0.25">
      <c r="A14" s="187" t="s">
        <v>255</v>
      </c>
      <c r="B14" s="187"/>
      <c r="C14" s="187"/>
      <c r="D14" s="187"/>
      <c r="E14" s="171">
        <f>(+E12)*E13</f>
        <v>1.6</v>
      </c>
      <c r="F14" s="171">
        <f>(+F12)*F13</f>
        <v>1.6</v>
      </c>
      <c r="G14" s="171">
        <f>(+G12)*G13</f>
        <v>1.6</v>
      </c>
      <c r="H14" s="171">
        <f>(+H12)*H13</f>
        <v>1.6</v>
      </c>
      <c r="I14" s="171">
        <f>(+I12)*I13</f>
        <v>1.6</v>
      </c>
      <c r="J14" s="66"/>
      <c r="K14" s="66"/>
      <c r="L14" s="66"/>
      <c r="M14" s="66"/>
    </row>
    <row r="15" spans="1:13" ht="15.75" x14ac:dyDescent="0.25">
      <c r="A15" s="187" t="s">
        <v>221</v>
      </c>
      <c r="B15" s="187"/>
      <c r="C15" s="187"/>
      <c r="D15" s="187"/>
      <c r="E15" s="172">
        <f>+E12-E14</f>
        <v>78.400000000000006</v>
      </c>
      <c r="F15" s="172">
        <f>+F12-F14</f>
        <v>78.400000000000006</v>
      </c>
      <c r="G15" s="172">
        <f>+G12-G14</f>
        <v>78.400000000000006</v>
      </c>
      <c r="H15" s="172">
        <f>+H12-H14</f>
        <v>78.400000000000006</v>
      </c>
      <c r="I15" s="172">
        <f>+I12-I14</f>
        <v>78.400000000000006</v>
      </c>
      <c r="J15" s="66"/>
      <c r="K15" s="66"/>
      <c r="L15" s="66"/>
      <c r="M15" s="66"/>
    </row>
    <row r="16" spans="1:13" ht="15.75" x14ac:dyDescent="0.25">
      <c r="A16" s="187" t="s">
        <v>244</v>
      </c>
      <c r="B16" s="187"/>
      <c r="C16" s="187"/>
      <c r="D16" s="187"/>
      <c r="E16" s="173">
        <f>IF(F4=1,0.1,+E15*365-(E10*E19))</f>
        <v>28526.000000000004</v>
      </c>
      <c r="F16" s="173">
        <f>IF($F4=1,E15*365-(E10*E19),+F15*365-(F10*F19))</f>
        <v>28526.000000000004</v>
      </c>
      <c r="G16" s="173">
        <f>IF($F4=1,F15*365-(F10*F19),+G15*365-(G10*G19))</f>
        <v>28526.000000000004</v>
      </c>
      <c r="H16" s="173">
        <f>IF($F4=1,G15*365-(G10*G19),+H15*365-(H10*H19))</f>
        <v>28526.000000000004</v>
      </c>
      <c r="I16" s="173">
        <f>IF($F4=1,H15*365-(H10*H19),+I15*365-(I10*I19))</f>
        <v>28526.000000000004</v>
      </c>
      <c r="J16" s="66"/>
      <c r="K16" s="66"/>
      <c r="L16" s="66"/>
      <c r="M16" s="66"/>
    </row>
    <row r="17" spans="1:13" ht="15.75" x14ac:dyDescent="0.25">
      <c r="A17" s="187" t="s">
        <v>245</v>
      </c>
      <c r="B17" s="187"/>
      <c r="C17" s="187"/>
      <c r="D17" s="187"/>
      <c r="E17" s="173">
        <f>+E16/12</f>
        <v>2377.166666666667</v>
      </c>
      <c r="F17" s="173">
        <f>+F16/12</f>
        <v>2377.166666666667</v>
      </c>
      <c r="G17" s="173">
        <f>+G16/12</f>
        <v>2377.166666666667</v>
      </c>
      <c r="H17" s="173">
        <f>+H16/12</f>
        <v>2377.166666666667</v>
      </c>
      <c r="I17" s="173">
        <f>+I16/12</f>
        <v>2377.166666666667</v>
      </c>
      <c r="J17" s="66"/>
      <c r="K17" s="66"/>
      <c r="L17" s="66"/>
      <c r="M17" s="66"/>
    </row>
    <row r="18" spans="1:13" ht="15.75" x14ac:dyDescent="0.25">
      <c r="A18" s="187"/>
      <c r="B18" s="187"/>
      <c r="C18" s="187"/>
      <c r="D18" s="187"/>
      <c r="E18" s="173"/>
      <c r="F18" s="173"/>
      <c r="G18" s="173"/>
      <c r="H18" s="173"/>
      <c r="I18" s="173"/>
      <c r="J18" s="66"/>
      <c r="K18" s="66"/>
      <c r="L18" s="66"/>
      <c r="M18" s="66"/>
    </row>
    <row r="19" spans="1:13" ht="15.75" x14ac:dyDescent="0.25">
      <c r="A19" s="187" t="s">
        <v>222</v>
      </c>
      <c r="B19" s="187"/>
      <c r="C19" s="187"/>
      <c r="D19" s="187"/>
      <c r="E19" s="170">
        <v>0.9</v>
      </c>
      <c r="F19" s="170">
        <v>0.9</v>
      </c>
      <c r="G19" s="170">
        <v>0.9</v>
      </c>
      <c r="H19" s="170">
        <v>0.9</v>
      </c>
      <c r="I19" s="170">
        <v>0.9</v>
      </c>
      <c r="J19" s="66" t="s">
        <v>246</v>
      </c>
      <c r="K19" s="66"/>
      <c r="L19" s="66"/>
      <c r="M19" s="66"/>
    </row>
    <row r="20" spans="1:13" ht="15.75" x14ac:dyDescent="0.25">
      <c r="A20" s="187"/>
      <c r="B20" s="187"/>
      <c r="C20" s="187"/>
      <c r="D20" s="187"/>
      <c r="E20" s="165"/>
      <c r="F20" s="165"/>
      <c r="G20" s="165"/>
      <c r="H20" s="165"/>
      <c r="I20" s="165"/>
      <c r="J20" s="66" t="s">
        <v>330</v>
      </c>
      <c r="K20" s="66"/>
      <c r="L20" s="66"/>
      <c r="M20" s="66"/>
    </row>
    <row r="21" spans="1:13" ht="15.75" x14ac:dyDescent="0.25">
      <c r="A21" s="190"/>
      <c r="B21" s="190"/>
      <c r="C21" s="190"/>
      <c r="D21" s="190"/>
      <c r="E21" s="174"/>
      <c r="F21" s="174"/>
      <c r="G21" s="174"/>
      <c r="H21" s="174"/>
      <c r="I21" s="174"/>
      <c r="K21" s="66"/>
      <c r="L21" s="66"/>
      <c r="M21" s="66"/>
    </row>
    <row r="22" spans="1:13" ht="15.75" x14ac:dyDescent="0.25">
      <c r="A22" s="191" t="s">
        <v>229</v>
      </c>
      <c r="B22" s="190"/>
      <c r="C22" s="190"/>
      <c r="D22" s="190"/>
      <c r="E22" s="175" t="str">
        <f>+E9</f>
        <v>Year 1</v>
      </c>
      <c r="F22" s="175" t="str">
        <f>+F9</f>
        <v>Year 2</v>
      </c>
      <c r="G22" s="175" t="str">
        <f>+G9</f>
        <v>Year 3</v>
      </c>
      <c r="H22" s="175" t="str">
        <f>+H9</f>
        <v>Year 4</v>
      </c>
      <c r="I22" s="175" t="str">
        <f>+I9</f>
        <v>Year 5</v>
      </c>
      <c r="J22" s="66"/>
      <c r="K22" s="66"/>
      <c r="L22" s="66"/>
      <c r="M22" s="66"/>
    </row>
    <row r="23" spans="1:13" ht="15.75" x14ac:dyDescent="0.25">
      <c r="A23" s="188" t="s">
        <v>247</v>
      </c>
      <c r="B23" s="187"/>
      <c r="C23" s="187"/>
      <c r="D23" s="187"/>
      <c r="E23" s="172"/>
      <c r="F23" s="172"/>
      <c r="G23" s="172"/>
      <c r="H23" s="172"/>
      <c r="I23" s="172"/>
      <c r="J23" s="66"/>
      <c r="K23" s="66"/>
      <c r="L23" s="66"/>
      <c r="M23" s="66"/>
    </row>
    <row r="24" spans="1:13" ht="15.75" x14ac:dyDescent="0.25">
      <c r="A24" s="188"/>
      <c r="B24" s="187" t="s">
        <v>126</v>
      </c>
      <c r="C24" s="187"/>
      <c r="D24" s="187"/>
      <c r="E24" s="170">
        <v>0.4</v>
      </c>
      <c r="F24" s="170">
        <v>0.4</v>
      </c>
      <c r="G24" s="170">
        <v>0.4</v>
      </c>
      <c r="H24" s="170">
        <v>0.4</v>
      </c>
      <c r="I24" s="170">
        <v>0.4</v>
      </c>
      <c r="J24" s="66" t="s">
        <v>285</v>
      </c>
      <c r="K24" s="66"/>
      <c r="L24" s="66"/>
      <c r="M24" s="66"/>
    </row>
    <row r="25" spans="1:13" ht="15.75" x14ac:dyDescent="0.25">
      <c r="A25" s="188"/>
      <c r="B25" s="90" t="s">
        <v>248</v>
      </c>
      <c r="C25" s="187"/>
      <c r="D25" s="187"/>
      <c r="E25" s="172">
        <f>+E16*E24/12</f>
        <v>950.86666666666679</v>
      </c>
      <c r="F25" s="172">
        <f>+F16*F24/12</f>
        <v>950.86666666666679</v>
      </c>
      <c r="G25" s="172">
        <f>+G16*G24/12</f>
        <v>950.86666666666679</v>
      </c>
      <c r="H25" s="172">
        <f>+H16*H24/12</f>
        <v>950.86666666666679</v>
      </c>
      <c r="I25" s="172">
        <f>+I16*I24/12</f>
        <v>950.86666666666679</v>
      </c>
      <c r="J25" s="66"/>
      <c r="K25" s="66"/>
      <c r="L25" s="66"/>
      <c r="M25" s="66"/>
    </row>
    <row r="26" spans="1:13" ht="15.75" x14ac:dyDescent="0.25">
      <c r="A26" s="188"/>
      <c r="B26" s="90" t="s">
        <v>232</v>
      </c>
      <c r="C26" s="187"/>
      <c r="D26" s="187"/>
      <c r="E26" s="176">
        <v>5</v>
      </c>
      <c r="F26" s="176">
        <v>5</v>
      </c>
      <c r="G26" s="176">
        <v>5</v>
      </c>
      <c r="H26" s="176">
        <v>5</v>
      </c>
      <c r="I26" s="176">
        <v>5</v>
      </c>
      <c r="J26" s="66" t="s">
        <v>283</v>
      </c>
      <c r="K26" s="66"/>
      <c r="L26" s="66"/>
      <c r="M26" s="66"/>
    </row>
    <row r="27" spans="1:13" ht="15.75" x14ac:dyDescent="0.25">
      <c r="A27" s="188"/>
      <c r="B27" s="192" t="s">
        <v>233</v>
      </c>
      <c r="C27" s="187"/>
      <c r="D27" s="187"/>
      <c r="E27" s="177">
        <f>+E25*E26</f>
        <v>4754.3333333333339</v>
      </c>
      <c r="F27" s="177">
        <f>+F25*F26</f>
        <v>4754.3333333333339</v>
      </c>
      <c r="G27" s="177">
        <f>+G25*G26</f>
        <v>4754.3333333333339</v>
      </c>
      <c r="H27" s="177">
        <f>+H25*H26</f>
        <v>4754.3333333333339</v>
      </c>
      <c r="I27" s="177">
        <f>+I25*I26</f>
        <v>4754.3333333333339</v>
      </c>
      <c r="J27" s="66"/>
      <c r="K27" s="66"/>
      <c r="L27" s="66"/>
      <c r="M27" s="66"/>
    </row>
    <row r="28" spans="1:13" ht="15.75" x14ac:dyDescent="0.25">
      <c r="A28" s="188"/>
      <c r="B28" s="193"/>
      <c r="C28" s="187"/>
      <c r="D28" s="187"/>
      <c r="E28" s="178"/>
      <c r="F28" s="178"/>
      <c r="G28" s="178"/>
      <c r="H28" s="178"/>
      <c r="I28" s="178"/>
      <c r="J28" s="66"/>
      <c r="K28" s="66"/>
      <c r="L28" s="66"/>
      <c r="M28" s="66"/>
    </row>
    <row r="29" spans="1:13" ht="15.75" x14ac:dyDescent="0.25">
      <c r="A29" s="188" t="s">
        <v>249</v>
      </c>
      <c r="B29" s="187"/>
      <c r="C29" s="187"/>
      <c r="D29" s="187"/>
      <c r="E29" s="178"/>
      <c r="F29" s="178"/>
      <c r="G29" s="178"/>
      <c r="H29" s="178"/>
      <c r="I29" s="178"/>
      <c r="J29" s="66"/>
      <c r="K29" s="66"/>
      <c r="L29" s="66"/>
      <c r="M29" s="66"/>
    </row>
    <row r="30" spans="1:13" ht="15.75" x14ac:dyDescent="0.25">
      <c r="A30" s="188"/>
      <c r="B30" s="187" t="s">
        <v>126</v>
      </c>
      <c r="C30" s="187"/>
      <c r="D30" s="187"/>
      <c r="E30" s="170">
        <v>0.5</v>
      </c>
      <c r="F30" s="170">
        <v>0.5</v>
      </c>
      <c r="G30" s="170">
        <v>0.5</v>
      </c>
      <c r="H30" s="170">
        <v>0.5</v>
      </c>
      <c r="I30" s="170">
        <v>0.5</v>
      </c>
      <c r="J30" s="66" t="s">
        <v>284</v>
      </c>
      <c r="K30" s="66"/>
      <c r="L30" s="66"/>
      <c r="M30" s="66"/>
    </row>
    <row r="31" spans="1:13" ht="15.75" x14ac:dyDescent="0.25">
      <c r="A31" s="188"/>
      <c r="B31" s="90" t="s">
        <v>248</v>
      </c>
      <c r="C31" s="187"/>
      <c r="D31" s="187"/>
      <c r="E31" s="172">
        <f>+E16*E30/12</f>
        <v>1188.5833333333335</v>
      </c>
      <c r="F31" s="172">
        <f>+F16*F30/12</f>
        <v>1188.5833333333335</v>
      </c>
      <c r="G31" s="172">
        <f>+G16*G30/12</f>
        <v>1188.5833333333335</v>
      </c>
      <c r="H31" s="172">
        <f>+H16*H30/12</f>
        <v>1188.5833333333335</v>
      </c>
      <c r="I31" s="172">
        <f>+I16*I30/12</f>
        <v>1188.5833333333335</v>
      </c>
      <c r="J31" s="66"/>
      <c r="K31" s="66"/>
      <c r="L31" s="66"/>
      <c r="M31" s="66"/>
    </row>
    <row r="32" spans="1:13" ht="15.75" x14ac:dyDescent="0.25">
      <c r="A32" s="188"/>
      <c r="B32" s="90" t="s">
        <v>235</v>
      </c>
      <c r="C32" s="187"/>
      <c r="D32" s="187"/>
      <c r="E32" s="176">
        <v>4.5</v>
      </c>
      <c r="F32" s="176">
        <v>4.5</v>
      </c>
      <c r="G32" s="176">
        <v>4.5</v>
      </c>
      <c r="H32" s="176">
        <v>4.5</v>
      </c>
      <c r="I32" s="176">
        <v>4.5</v>
      </c>
      <c r="J32" s="66"/>
      <c r="K32" s="66"/>
      <c r="L32" s="66"/>
      <c r="M32" s="66"/>
    </row>
    <row r="33" spans="1:13" ht="15.75" x14ac:dyDescent="0.25">
      <c r="A33" s="188"/>
      <c r="B33" s="192" t="s">
        <v>233</v>
      </c>
      <c r="C33" s="187"/>
      <c r="D33" s="187"/>
      <c r="E33" s="177">
        <f>+E31*E32</f>
        <v>5348.6250000000009</v>
      </c>
      <c r="F33" s="177">
        <f>+F31*F32</f>
        <v>5348.6250000000009</v>
      </c>
      <c r="G33" s="177">
        <f>+G31*G32</f>
        <v>5348.6250000000009</v>
      </c>
      <c r="H33" s="177">
        <f>+H31*H32</f>
        <v>5348.6250000000009</v>
      </c>
      <c r="I33" s="177">
        <f>+I31*I32</f>
        <v>5348.6250000000009</v>
      </c>
      <c r="J33" s="66"/>
      <c r="K33" s="66"/>
      <c r="L33" s="66"/>
      <c r="M33" s="66"/>
    </row>
    <row r="34" spans="1:13" ht="15.75" x14ac:dyDescent="0.25">
      <c r="A34" s="188" t="s">
        <v>250</v>
      </c>
      <c r="B34" s="187"/>
      <c r="C34" s="187"/>
      <c r="D34" s="187"/>
      <c r="E34" s="179"/>
      <c r="F34" s="179"/>
      <c r="G34" s="179"/>
      <c r="H34" s="179"/>
      <c r="I34" s="179"/>
      <c r="J34" s="66"/>
      <c r="K34" s="66"/>
      <c r="L34" s="66"/>
      <c r="M34" s="66"/>
    </row>
    <row r="35" spans="1:13" ht="15.75" x14ac:dyDescent="0.25">
      <c r="A35" s="188"/>
      <c r="B35" s="187" t="s">
        <v>126</v>
      </c>
      <c r="C35" s="187"/>
      <c r="D35" s="187"/>
      <c r="E35" s="180">
        <f>1-E24-E30</f>
        <v>9.9999999999999978E-2</v>
      </c>
      <c r="F35" s="180">
        <f>1-F24-F30</f>
        <v>9.9999999999999978E-2</v>
      </c>
      <c r="G35" s="180">
        <f>1-G24-G30</f>
        <v>9.9999999999999978E-2</v>
      </c>
      <c r="H35" s="180">
        <f>1-H24-H30</f>
        <v>9.9999999999999978E-2</v>
      </c>
      <c r="I35" s="180">
        <f>1-I24-I30</f>
        <v>9.9999999999999978E-2</v>
      </c>
      <c r="J35" s="66"/>
      <c r="K35" s="66"/>
      <c r="L35" s="66"/>
      <c r="M35" s="66"/>
    </row>
    <row r="36" spans="1:13" ht="15.75" x14ac:dyDescent="0.25">
      <c r="A36" s="188"/>
      <c r="B36" s="90" t="s">
        <v>248</v>
      </c>
      <c r="C36" s="187"/>
      <c r="D36" s="187"/>
      <c r="E36" s="172">
        <f>+E16*E35/12</f>
        <v>237.71666666666667</v>
      </c>
      <c r="F36" s="172">
        <f>+F16*F35/12</f>
        <v>237.71666666666667</v>
      </c>
      <c r="G36" s="172">
        <f>+G16*G35/12</f>
        <v>237.71666666666667</v>
      </c>
      <c r="H36" s="172">
        <f>+H16*H35/12</f>
        <v>237.71666666666667</v>
      </c>
      <c r="I36" s="172">
        <f>+I16*I35/12</f>
        <v>237.71666666666667</v>
      </c>
      <c r="J36" s="66"/>
      <c r="K36" s="66"/>
      <c r="L36" s="66"/>
      <c r="M36" s="66"/>
    </row>
    <row r="37" spans="1:13" ht="15.75" x14ac:dyDescent="0.25">
      <c r="A37" s="188"/>
      <c r="B37" s="90" t="s">
        <v>235</v>
      </c>
      <c r="C37" s="187"/>
      <c r="D37" s="187"/>
      <c r="E37" s="176">
        <v>4</v>
      </c>
      <c r="F37" s="176">
        <v>4</v>
      </c>
      <c r="G37" s="176">
        <v>4</v>
      </c>
      <c r="H37" s="176">
        <v>4</v>
      </c>
      <c r="I37" s="176">
        <v>4</v>
      </c>
      <c r="J37" s="66"/>
      <c r="K37" s="66"/>
      <c r="L37" s="66"/>
      <c r="M37" s="66"/>
    </row>
    <row r="38" spans="1:13" ht="15.75" x14ac:dyDescent="0.25">
      <c r="A38" s="188"/>
      <c r="B38" s="192" t="s">
        <v>233</v>
      </c>
      <c r="C38" s="187"/>
      <c r="D38" s="187"/>
      <c r="E38" s="177">
        <f>+E36*E37</f>
        <v>950.86666666666667</v>
      </c>
      <c r="F38" s="177">
        <f>+F36*F37</f>
        <v>950.86666666666667</v>
      </c>
      <c r="G38" s="177">
        <f>+G36*G37</f>
        <v>950.86666666666667</v>
      </c>
      <c r="H38" s="177">
        <f>+H36*H37</f>
        <v>950.86666666666667</v>
      </c>
      <c r="I38" s="177">
        <f>+I36*I37</f>
        <v>950.86666666666667</v>
      </c>
      <c r="J38" s="66"/>
      <c r="K38" s="66"/>
      <c r="L38" s="66"/>
      <c r="M38" s="66"/>
    </row>
    <row r="39" spans="1:13" ht="15.75" x14ac:dyDescent="0.25">
      <c r="A39" s="188"/>
      <c r="B39" s="193"/>
      <c r="C39" s="187"/>
      <c r="D39" s="187"/>
      <c r="E39" s="179"/>
      <c r="F39" s="179"/>
      <c r="G39" s="179"/>
      <c r="H39" s="179"/>
      <c r="I39" s="179"/>
      <c r="J39" s="66"/>
      <c r="K39" s="66"/>
      <c r="L39" s="66"/>
      <c r="M39" s="66"/>
    </row>
    <row r="40" spans="1:13" ht="15.75" x14ac:dyDescent="0.25">
      <c r="A40" s="188" t="s">
        <v>236</v>
      </c>
      <c r="B40" s="90"/>
      <c r="C40" s="187"/>
      <c r="D40" s="187"/>
      <c r="E40" s="181"/>
      <c r="F40" s="181"/>
      <c r="G40" s="181"/>
      <c r="H40" s="181"/>
      <c r="I40" s="181"/>
      <c r="J40" s="66"/>
      <c r="K40" s="66"/>
      <c r="L40" s="66"/>
      <c r="M40" s="66"/>
    </row>
    <row r="41" spans="1:13" ht="15.75" x14ac:dyDescent="0.25">
      <c r="A41" s="188"/>
      <c r="B41" s="187"/>
      <c r="C41" s="187"/>
      <c r="D41" s="187"/>
      <c r="E41" s="180"/>
      <c r="F41" s="180"/>
      <c r="G41" s="180"/>
      <c r="H41" s="180"/>
      <c r="I41" s="180"/>
      <c r="J41" s="66"/>
      <c r="K41" s="66"/>
      <c r="L41" s="66"/>
      <c r="M41" s="66"/>
    </row>
    <row r="42" spans="1:13" ht="15.75" x14ac:dyDescent="0.25">
      <c r="A42" s="188"/>
      <c r="B42" s="90" t="s">
        <v>231</v>
      </c>
      <c r="C42" s="187"/>
      <c r="D42" s="187"/>
      <c r="E42" s="172">
        <f>+E10*E19</f>
        <v>90</v>
      </c>
      <c r="F42" s="172">
        <f>+F10*F19</f>
        <v>90</v>
      </c>
      <c r="G42" s="172">
        <f>+G10*G19</f>
        <v>90</v>
      </c>
      <c r="H42" s="172">
        <f>+H10*H19</f>
        <v>90</v>
      </c>
      <c r="I42" s="172">
        <f>+I10*I19</f>
        <v>90</v>
      </c>
      <c r="J42" s="66"/>
      <c r="K42" s="66"/>
      <c r="L42" s="66"/>
      <c r="M42" s="66"/>
    </row>
    <row r="43" spans="1:13" ht="15.75" x14ac:dyDescent="0.25">
      <c r="A43" s="188"/>
      <c r="B43" s="90" t="s">
        <v>252</v>
      </c>
      <c r="C43" s="187"/>
      <c r="D43" s="187"/>
      <c r="E43" s="182">
        <v>2</v>
      </c>
      <c r="F43" s="182">
        <v>2</v>
      </c>
      <c r="G43" s="182">
        <v>2</v>
      </c>
      <c r="H43" s="182">
        <v>2</v>
      </c>
      <c r="I43" s="182">
        <v>2</v>
      </c>
      <c r="J43" s="66" t="s">
        <v>253</v>
      </c>
      <c r="K43" s="66"/>
      <c r="L43" s="66"/>
      <c r="M43" s="66"/>
    </row>
    <row r="44" spans="1:13" ht="15.75" x14ac:dyDescent="0.25">
      <c r="A44" s="188"/>
      <c r="B44" s="187" t="s">
        <v>286</v>
      </c>
      <c r="C44" s="187"/>
      <c r="D44" s="187"/>
      <c r="E44" s="176">
        <v>3</v>
      </c>
      <c r="F44" s="176">
        <v>3</v>
      </c>
      <c r="G44" s="176">
        <v>3</v>
      </c>
      <c r="H44" s="176">
        <v>3</v>
      </c>
      <c r="I44" s="176">
        <v>3</v>
      </c>
      <c r="J44" s="85" t="s">
        <v>251</v>
      </c>
      <c r="K44" s="66"/>
      <c r="L44" s="66"/>
      <c r="M44" s="66"/>
    </row>
    <row r="45" spans="1:13" ht="15.75" x14ac:dyDescent="0.25">
      <c r="A45" s="188"/>
      <c r="B45" s="192" t="s">
        <v>233</v>
      </c>
      <c r="C45" s="187"/>
      <c r="D45" s="187"/>
      <c r="E45" s="178">
        <f>+E42*E44*E43</f>
        <v>540</v>
      </c>
      <c r="F45" s="178">
        <f>+F42*F44*F43</f>
        <v>540</v>
      </c>
      <c r="G45" s="178">
        <f>+G42*G44*G43</f>
        <v>540</v>
      </c>
      <c r="H45" s="178">
        <f>+H42*H44*H43</f>
        <v>540</v>
      </c>
      <c r="I45" s="178">
        <f>+I42*I44*I43</f>
        <v>540</v>
      </c>
      <c r="J45" s="66"/>
      <c r="K45" s="66"/>
      <c r="L45" s="66"/>
      <c r="M45" s="66"/>
    </row>
    <row r="46" spans="1:13" ht="15.75" x14ac:dyDescent="0.25">
      <c r="A46" s="188" t="s">
        <v>237</v>
      </c>
      <c r="B46" s="187"/>
      <c r="C46" s="187"/>
      <c r="D46" s="187"/>
      <c r="E46" s="179"/>
      <c r="F46" s="179"/>
      <c r="G46" s="179"/>
      <c r="H46" s="179"/>
      <c r="I46" s="179"/>
      <c r="J46" s="66"/>
      <c r="K46" s="66"/>
      <c r="L46" s="66"/>
      <c r="M46" s="66"/>
    </row>
    <row r="47" spans="1:13" ht="15.75" x14ac:dyDescent="0.25">
      <c r="A47" s="187" t="s">
        <v>238</v>
      </c>
      <c r="B47" s="187"/>
      <c r="C47" s="187"/>
      <c r="D47" s="187"/>
      <c r="E47" s="183">
        <f>+E27+E33+E38+E45</f>
        <v>11593.825000000003</v>
      </c>
      <c r="F47" s="183">
        <f>+F27+F33+F38+F45</f>
        <v>11593.825000000003</v>
      </c>
      <c r="G47" s="183">
        <f>+G27+G33+G38+G45</f>
        <v>11593.825000000003</v>
      </c>
      <c r="H47" s="183">
        <f>+H27+H33+H38+H45</f>
        <v>11593.825000000003</v>
      </c>
      <c r="I47" s="183">
        <f>+I27+I33+I38+I45</f>
        <v>11593.825000000003</v>
      </c>
      <c r="J47" s="66"/>
      <c r="K47" s="66"/>
      <c r="L47" s="66"/>
      <c r="M47" s="66"/>
    </row>
    <row r="48" spans="1:13" ht="15.75" x14ac:dyDescent="0.25">
      <c r="A48" s="187" t="s">
        <v>280</v>
      </c>
      <c r="B48" s="187"/>
      <c r="C48" s="187"/>
      <c r="D48" s="187"/>
      <c r="E48" s="184">
        <f>+E17</f>
        <v>2377.166666666667</v>
      </c>
      <c r="F48" s="184">
        <f t="shared" ref="F48:I48" si="0">+F17</f>
        <v>2377.166666666667</v>
      </c>
      <c r="G48" s="184">
        <f t="shared" si="0"/>
        <v>2377.166666666667</v>
      </c>
      <c r="H48" s="184">
        <f t="shared" si="0"/>
        <v>2377.166666666667</v>
      </c>
      <c r="I48" s="184">
        <f t="shared" si="0"/>
        <v>2377.166666666667</v>
      </c>
      <c r="J48" s="66"/>
      <c r="K48" s="66"/>
      <c r="L48" s="66"/>
      <c r="M48" s="66"/>
    </row>
    <row r="49" spans="1:13" ht="13.9" customHeight="1" x14ac:dyDescent="0.25">
      <c r="A49" s="187" t="s">
        <v>254</v>
      </c>
      <c r="B49" s="187"/>
      <c r="C49" s="187"/>
      <c r="D49" s="187"/>
      <c r="E49" s="185">
        <f>+E47/(E16/12)</f>
        <v>4.8771611862861954</v>
      </c>
      <c r="F49" s="185">
        <f>+F47/(F16/12)</f>
        <v>4.8771611862861954</v>
      </c>
      <c r="G49" s="185">
        <f>+G47/(G16/12)</f>
        <v>4.8771611862861954</v>
      </c>
      <c r="H49" s="185">
        <f>+H47/(H16/12)</f>
        <v>4.8771611862861954</v>
      </c>
      <c r="I49" s="185">
        <f>+I47/(I16/12)</f>
        <v>4.8771611862861954</v>
      </c>
      <c r="J49" s="66"/>
      <c r="K49" s="66"/>
      <c r="L49" s="66"/>
      <c r="M49" s="66"/>
    </row>
    <row r="50" spans="1:13" ht="15.75" x14ac:dyDescent="0.25">
      <c r="A50" s="64"/>
      <c r="B50" s="64"/>
      <c r="C50" s="64"/>
      <c r="D50" s="64"/>
      <c r="E50" s="185"/>
      <c r="F50" s="185"/>
      <c r="G50" s="185"/>
      <c r="H50" s="185"/>
      <c r="I50" s="185"/>
      <c r="J50" s="66"/>
      <c r="K50" s="66"/>
      <c r="L50" s="66"/>
      <c r="M50" s="66"/>
    </row>
  </sheetData>
  <sheetProtection sheet="1" objects="1" scenarios="1"/>
  <pageMargins left="0.7" right="0.7" top="0.75" bottom="0.75" header="0.3" footer="0.3"/>
  <pageSetup orientation="portrait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H40"/>
  <sheetViews>
    <sheetView topLeftCell="A24" workbookViewId="0">
      <pane ySplit="5070" topLeftCell="A39"/>
      <selection activeCell="B39" sqref="B39"/>
      <selection pane="bottomLeft" activeCell="F40" sqref="F40"/>
    </sheetView>
  </sheetViews>
  <sheetFormatPr defaultRowHeight="15" x14ac:dyDescent="0.25"/>
  <cols>
    <col min="1" max="1" width="28.5703125" customWidth="1"/>
    <col min="2" max="7" width="15.7109375" customWidth="1"/>
  </cols>
  <sheetData>
    <row r="1" spans="1:8" ht="31.5" x14ac:dyDescent="0.5">
      <c r="A1" s="117" t="s">
        <v>271</v>
      </c>
      <c r="B1" s="118"/>
      <c r="C1" s="118"/>
      <c r="D1" s="118"/>
      <c r="E1" s="118"/>
      <c r="F1" s="118"/>
      <c r="G1" s="118"/>
    </row>
    <row r="2" spans="1:8" ht="15.75" thickBot="1" x14ac:dyDescent="0.3">
      <c r="A2" s="119"/>
    </row>
    <row r="3" spans="1:8" x14ac:dyDescent="0.25">
      <c r="A3" s="250" t="s">
        <v>45</v>
      </c>
      <c r="B3" s="47"/>
      <c r="C3" s="26" t="s">
        <v>46</v>
      </c>
      <c r="D3" s="26" t="s">
        <v>47</v>
      </c>
      <c r="E3" s="26" t="s">
        <v>48</v>
      </c>
      <c r="F3" s="26" t="s">
        <v>49</v>
      </c>
      <c r="G3" s="26" t="s">
        <v>50</v>
      </c>
    </row>
    <row r="4" spans="1:8" ht="15.75" thickBot="1" x14ac:dyDescent="0.3">
      <c r="A4" s="251"/>
      <c r="B4" s="48"/>
      <c r="C4" s="27">
        <v>2014</v>
      </c>
      <c r="D4" s="27">
        <v>2015</v>
      </c>
      <c r="E4" s="27">
        <v>2016</v>
      </c>
      <c r="F4" s="27">
        <v>2017</v>
      </c>
      <c r="G4" s="27">
        <v>2018</v>
      </c>
    </row>
    <row r="5" spans="1:8" ht="15.75" thickBot="1" x14ac:dyDescent="0.3">
      <c r="A5" s="120" t="s">
        <v>81</v>
      </c>
      <c r="B5" s="49"/>
      <c r="C5" s="58">
        <v>20</v>
      </c>
      <c r="D5" s="58">
        <v>18</v>
      </c>
      <c r="E5" s="58">
        <v>18</v>
      </c>
      <c r="F5" s="58">
        <v>25</v>
      </c>
      <c r="G5" s="58">
        <v>25</v>
      </c>
    </row>
    <row r="6" spans="1:8" ht="15.75" thickBot="1" x14ac:dyDescent="0.3">
      <c r="A6" s="120" t="s">
        <v>257</v>
      </c>
      <c r="B6" s="50"/>
      <c r="C6" s="59">
        <v>1</v>
      </c>
      <c r="D6" s="59">
        <v>1.2</v>
      </c>
      <c r="E6" s="59">
        <v>1.4</v>
      </c>
      <c r="F6" s="59">
        <v>1</v>
      </c>
      <c r="G6" s="59">
        <v>1.4</v>
      </c>
      <c r="H6" t="s">
        <v>288</v>
      </c>
    </row>
    <row r="7" spans="1:8" ht="15.75" thickBot="1" x14ac:dyDescent="0.3">
      <c r="A7" s="120" t="s">
        <v>102</v>
      </c>
      <c r="B7" s="50"/>
      <c r="C7" s="58">
        <v>1.2</v>
      </c>
      <c r="D7" s="58">
        <v>1.2</v>
      </c>
      <c r="E7" s="58">
        <v>1.4</v>
      </c>
      <c r="F7" s="58">
        <v>1.1000000000000001</v>
      </c>
      <c r="G7" s="58">
        <v>1.4</v>
      </c>
      <c r="H7" t="s">
        <v>289</v>
      </c>
    </row>
    <row r="8" spans="1:8" ht="15.75" thickBot="1" x14ac:dyDescent="0.3">
      <c r="A8" s="120" t="s">
        <v>103</v>
      </c>
      <c r="B8" s="50"/>
      <c r="C8" s="59">
        <v>0.3</v>
      </c>
      <c r="D8" s="59">
        <v>0.2</v>
      </c>
      <c r="E8" s="59">
        <v>0.15</v>
      </c>
      <c r="F8" s="59">
        <v>0.2</v>
      </c>
      <c r="G8" s="59">
        <v>0.15</v>
      </c>
      <c r="H8" t="s">
        <v>290</v>
      </c>
    </row>
    <row r="9" spans="1:8" ht="15.75" thickBot="1" x14ac:dyDescent="0.3">
      <c r="A9" s="120" t="s">
        <v>258</v>
      </c>
      <c r="B9" s="57"/>
      <c r="C9" s="81">
        <f>C6*C7-(C6*C7*C8)</f>
        <v>0.84</v>
      </c>
      <c r="D9" s="81">
        <f t="shared" ref="D9:G9" si="0">D6*D7-(D6*D7*D8)</f>
        <v>1.1519999999999999</v>
      </c>
      <c r="E9" s="81">
        <f t="shared" si="0"/>
        <v>1.6659999999999999</v>
      </c>
      <c r="F9" s="81">
        <f t="shared" si="0"/>
        <v>0.88000000000000012</v>
      </c>
      <c r="G9" s="81">
        <f t="shared" si="0"/>
        <v>1.6659999999999999</v>
      </c>
    </row>
    <row r="10" spans="1:8" ht="15.75" thickBot="1" x14ac:dyDescent="0.3">
      <c r="A10" s="120"/>
      <c r="B10" s="57"/>
      <c r="C10" s="55"/>
      <c r="D10" s="55"/>
      <c r="E10" s="55"/>
      <c r="F10" s="55"/>
      <c r="G10" s="55"/>
    </row>
    <row r="11" spans="1:8" ht="15.75" thickBot="1" x14ac:dyDescent="0.3">
      <c r="A11" s="121" t="s">
        <v>58</v>
      </c>
      <c r="B11" s="49"/>
      <c r="C11" s="33"/>
      <c r="D11" s="33"/>
      <c r="E11" s="33"/>
      <c r="F11" s="33"/>
      <c r="G11" s="33"/>
    </row>
    <row r="12" spans="1:8" ht="15.75" thickBot="1" x14ac:dyDescent="0.3">
      <c r="A12" s="120" t="s">
        <v>259</v>
      </c>
      <c r="B12" s="50"/>
      <c r="C12" s="46">
        <f>+C5*C9</f>
        <v>16.8</v>
      </c>
      <c r="D12" s="46">
        <f t="shared" ref="D12:G12" si="1">+D5*D9</f>
        <v>20.735999999999997</v>
      </c>
      <c r="E12" s="46">
        <f t="shared" si="1"/>
        <v>29.988</v>
      </c>
      <c r="F12" s="46">
        <f t="shared" si="1"/>
        <v>22.000000000000004</v>
      </c>
      <c r="G12" s="46">
        <f t="shared" si="1"/>
        <v>41.65</v>
      </c>
    </row>
    <row r="13" spans="1:8" ht="15.75" thickBot="1" x14ac:dyDescent="0.3">
      <c r="A13" s="120" t="s">
        <v>260</v>
      </c>
      <c r="B13" s="60">
        <v>0.05</v>
      </c>
      <c r="C13" s="46">
        <f>+C12*$B13</f>
        <v>0.84000000000000008</v>
      </c>
      <c r="D13" s="46">
        <f t="shared" ref="D13:G13" si="2">+D12*$B13</f>
        <v>1.0367999999999999</v>
      </c>
      <c r="E13" s="46">
        <f t="shared" si="2"/>
        <v>1.4994000000000001</v>
      </c>
      <c r="F13" s="46">
        <f t="shared" si="2"/>
        <v>1.1000000000000003</v>
      </c>
      <c r="G13" s="46">
        <f t="shared" si="2"/>
        <v>2.0825</v>
      </c>
      <c r="H13" t="s">
        <v>291</v>
      </c>
    </row>
    <row r="14" spans="1:8" ht="15.75" thickBot="1" x14ac:dyDescent="0.3">
      <c r="A14" s="122" t="s">
        <v>261</v>
      </c>
      <c r="B14" s="61">
        <v>0.3</v>
      </c>
      <c r="C14" s="80">
        <f>+C5*$B14+(D5-C5)</f>
        <v>4</v>
      </c>
      <c r="D14" s="80">
        <f t="shared" ref="D14:F14" si="3">+D5*$B14+(E5-D5)</f>
        <v>5.3999999999999995</v>
      </c>
      <c r="E14" s="80">
        <f t="shared" si="3"/>
        <v>12.399999999999999</v>
      </c>
      <c r="F14" s="80">
        <f t="shared" si="3"/>
        <v>7.5</v>
      </c>
      <c r="G14" s="80">
        <f>+G5*$B14</f>
        <v>7.5</v>
      </c>
      <c r="H14" t="s">
        <v>292</v>
      </c>
    </row>
    <row r="15" spans="1:8" ht="15.75" thickBot="1" x14ac:dyDescent="0.3">
      <c r="A15" s="120" t="s">
        <v>262</v>
      </c>
      <c r="B15" s="49"/>
      <c r="C15" s="46">
        <f>+C12-C13-C14</f>
        <v>11.96</v>
      </c>
      <c r="D15" s="46">
        <f t="shared" ref="D15:G15" si="4">+D12-D13-D14</f>
        <v>14.299199999999999</v>
      </c>
      <c r="E15" s="46">
        <f t="shared" si="4"/>
        <v>16.0886</v>
      </c>
      <c r="F15" s="46">
        <f t="shared" si="4"/>
        <v>13.400000000000002</v>
      </c>
      <c r="G15" s="46">
        <f t="shared" si="4"/>
        <v>32.067499999999995</v>
      </c>
    </row>
    <row r="16" spans="1:8" ht="15.75" thickBot="1" x14ac:dyDescent="0.3">
      <c r="A16" s="123"/>
      <c r="B16" s="51"/>
      <c r="C16" s="29"/>
      <c r="D16" s="29"/>
      <c r="E16" s="29"/>
      <c r="F16" s="29"/>
      <c r="G16" s="29"/>
    </row>
    <row r="17" spans="1:8" ht="15.75" thickBot="1" x14ac:dyDescent="0.3">
      <c r="A17" s="124"/>
      <c r="B17" s="49"/>
      <c r="C17" s="33"/>
      <c r="D17" s="33"/>
      <c r="E17" s="33"/>
      <c r="F17" s="33"/>
      <c r="G17" s="33"/>
    </row>
    <row r="18" spans="1:8" ht="15.75" thickBot="1" x14ac:dyDescent="0.3">
      <c r="A18" s="125" t="s">
        <v>61</v>
      </c>
      <c r="B18" s="52"/>
      <c r="C18" s="40"/>
      <c r="D18" s="40"/>
      <c r="E18" s="40"/>
      <c r="F18" s="40"/>
      <c r="G18" s="40"/>
    </row>
    <row r="19" spans="1:8" ht="15.75" thickBot="1" x14ac:dyDescent="0.3">
      <c r="A19" s="124" t="s">
        <v>62</v>
      </c>
      <c r="B19" s="60">
        <v>0.2</v>
      </c>
      <c r="C19" s="46">
        <f>+C$15*$B19</f>
        <v>2.3920000000000003</v>
      </c>
      <c r="D19" s="46">
        <f t="shared" ref="D19:G21" si="5">+D$15*$B19</f>
        <v>2.8598400000000002</v>
      </c>
      <c r="E19" s="46">
        <f t="shared" si="5"/>
        <v>3.2177199999999999</v>
      </c>
      <c r="F19" s="46">
        <f t="shared" si="5"/>
        <v>2.6800000000000006</v>
      </c>
      <c r="G19" s="46">
        <f t="shared" si="5"/>
        <v>6.4134999999999991</v>
      </c>
      <c r="H19" t="s">
        <v>293</v>
      </c>
    </row>
    <row r="20" spans="1:8" ht="15.75" thickBot="1" x14ac:dyDescent="0.3">
      <c r="A20" s="120" t="s">
        <v>263</v>
      </c>
      <c r="B20" s="60">
        <v>0.7</v>
      </c>
      <c r="C20" s="46">
        <f>+C$15*$B20</f>
        <v>8.3719999999999999</v>
      </c>
      <c r="D20" s="46">
        <f t="shared" si="5"/>
        <v>10.009439999999998</v>
      </c>
      <c r="E20" s="46">
        <f t="shared" si="5"/>
        <v>11.26202</v>
      </c>
      <c r="F20" s="46">
        <f t="shared" si="5"/>
        <v>9.3800000000000008</v>
      </c>
      <c r="G20" s="46">
        <f t="shared" si="5"/>
        <v>22.447249999999997</v>
      </c>
      <c r="H20" t="s">
        <v>294</v>
      </c>
    </row>
    <row r="21" spans="1:8" ht="15.75" thickBot="1" x14ac:dyDescent="0.3">
      <c r="A21" s="120" t="s">
        <v>264</v>
      </c>
      <c r="B21" s="60">
        <v>0.1</v>
      </c>
      <c r="C21" s="46">
        <f>+C$15*$B21</f>
        <v>1.1960000000000002</v>
      </c>
      <c r="D21" s="46">
        <f t="shared" si="5"/>
        <v>1.4299200000000001</v>
      </c>
      <c r="E21" s="46">
        <f t="shared" si="5"/>
        <v>1.60886</v>
      </c>
      <c r="F21" s="46">
        <f t="shared" si="5"/>
        <v>1.3400000000000003</v>
      </c>
      <c r="G21" s="46">
        <f t="shared" si="5"/>
        <v>3.2067499999999995</v>
      </c>
      <c r="H21" t="s">
        <v>296</v>
      </c>
    </row>
    <row r="22" spans="1:8" ht="15.75" thickBot="1" x14ac:dyDescent="0.3">
      <c r="A22" s="120" t="s">
        <v>265</v>
      </c>
      <c r="B22" s="49"/>
      <c r="C22" s="46">
        <f>+C14/2</f>
        <v>2</v>
      </c>
      <c r="D22" s="46">
        <f t="shared" ref="D22:G22" si="6">+D14/2</f>
        <v>2.6999999999999997</v>
      </c>
      <c r="E22" s="46">
        <f t="shared" si="6"/>
        <v>6.1999999999999993</v>
      </c>
      <c r="F22" s="46">
        <f t="shared" si="6"/>
        <v>3.75</v>
      </c>
      <c r="G22" s="46">
        <f t="shared" si="6"/>
        <v>3.75</v>
      </c>
      <c r="H22" t="s">
        <v>295</v>
      </c>
    </row>
    <row r="23" spans="1:8" x14ac:dyDescent="0.25">
      <c r="A23" s="119"/>
    </row>
    <row r="24" spans="1:8" ht="15.75" thickBot="1" x14ac:dyDescent="0.3">
      <c r="A24" s="199" t="s">
        <v>303</v>
      </c>
    </row>
    <row r="25" spans="1:8" ht="15.75" thickBot="1" x14ac:dyDescent="0.3">
      <c r="A25" s="196"/>
      <c r="B25" s="200" t="s">
        <v>304</v>
      </c>
      <c r="C25" s="200" t="s">
        <v>305</v>
      </c>
      <c r="D25" s="200" t="s">
        <v>168</v>
      </c>
    </row>
    <row r="26" spans="1:8" ht="15.75" thickBot="1" x14ac:dyDescent="0.3">
      <c r="A26" s="196" t="s">
        <v>300</v>
      </c>
      <c r="B26" s="202">
        <v>30</v>
      </c>
      <c r="C26" s="203">
        <v>5</v>
      </c>
      <c r="D26" s="201">
        <f>+B26*C26</f>
        <v>150</v>
      </c>
      <c r="H26" t="s">
        <v>307</v>
      </c>
    </row>
    <row r="27" spans="1:8" ht="15.75" thickBot="1" x14ac:dyDescent="0.3">
      <c r="A27" s="196" t="s">
        <v>301</v>
      </c>
      <c r="B27" s="204">
        <v>0.4</v>
      </c>
      <c r="C27" s="205"/>
      <c r="D27" s="201"/>
      <c r="H27" t="s">
        <v>306</v>
      </c>
    </row>
    <row r="28" spans="1:8" ht="15.75" thickBot="1" x14ac:dyDescent="0.3">
      <c r="A28" s="196" t="s">
        <v>302</v>
      </c>
      <c r="B28" s="202">
        <f>+B26*B27</f>
        <v>12</v>
      </c>
      <c r="C28" s="203">
        <v>12</v>
      </c>
      <c r="D28" s="201">
        <f>+B28*C28</f>
        <v>144</v>
      </c>
    </row>
    <row r="29" spans="1:8" x14ac:dyDescent="0.25">
      <c r="A29" s="119"/>
    </row>
    <row r="30" spans="1:8" x14ac:dyDescent="0.25">
      <c r="A30" s="119"/>
    </row>
    <row r="31" spans="1:8" x14ac:dyDescent="0.25">
      <c r="A31" s="119"/>
    </row>
    <row r="32" spans="1:8" ht="15.75" thickBot="1" x14ac:dyDescent="0.3">
      <c r="A32" s="119"/>
    </row>
    <row r="33" spans="1:8" ht="15.75" thickBot="1" x14ac:dyDescent="0.3">
      <c r="A33" s="126" t="s">
        <v>110</v>
      </c>
      <c r="B33" s="54"/>
      <c r="C33" s="54"/>
      <c r="D33" s="54"/>
      <c r="E33" s="54"/>
      <c r="F33" s="54"/>
      <c r="G33" s="54"/>
    </row>
    <row r="34" spans="1:8" ht="15.75" thickBot="1" x14ac:dyDescent="0.3">
      <c r="A34" s="127" t="s">
        <v>111</v>
      </c>
      <c r="B34" s="62">
        <v>130</v>
      </c>
      <c r="C34" s="56">
        <f>+C19*$B34</f>
        <v>310.96000000000004</v>
      </c>
      <c r="D34" s="56">
        <f t="shared" ref="D34:G34" si="7">+D19*$B34</f>
        <v>371.7792</v>
      </c>
      <c r="E34" s="56">
        <f t="shared" si="7"/>
        <v>418.30359999999996</v>
      </c>
      <c r="F34" s="56">
        <f t="shared" si="7"/>
        <v>348.40000000000009</v>
      </c>
      <c r="G34" s="56">
        <f t="shared" si="7"/>
        <v>833.75499999999988</v>
      </c>
    </row>
    <row r="35" spans="1:8" ht="15.75" thickBot="1" x14ac:dyDescent="0.3">
      <c r="A35" s="127" t="s">
        <v>266</v>
      </c>
      <c r="B35" s="62">
        <v>220</v>
      </c>
      <c r="C35" s="56">
        <f t="shared" ref="C35:G35" si="8">+C20*$B35</f>
        <v>1841.84</v>
      </c>
      <c r="D35" s="56">
        <f t="shared" si="8"/>
        <v>2202.0767999999994</v>
      </c>
      <c r="E35" s="56">
        <f t="shared" si="8"/>
        <v>2477.6444000000001</v>
      </c>
      <c r="F35" s="56">
        <f t="shared" si="8"/>
        <v>2063.6000000000004</v>
      </c>
      <c r="G35" s="56">
        <f t="shared" si="8"/>
        <v>4938.3949999999995</v>
      </c>
    </row>
    <row r="36" spans="1:8" ht="15.75" thickBot="1" x14ac:dyDescent="0.3">
      <c r="A36" s="196" t="s">
        <v>297</v>
      </c>
      <c r="B36" s="197">
        <v>0</v>
      </c>
      <c r="C36" s="198">
        <f>C21*$B36</f>
        <v>0</v>
      </c>
      <c r="D36" s="198">
        <f t="shared" ref="D36:G36" si="9">D21*$B36</f>
        <v>0</v>
      </c>
      <c r="E36" s="198">
        <f t="shared" si="9"/>
        <v>0</v>
      </c>
      <c r="F36" s="198">
        <f t="shared" si="9"/>
        <v>0</v>
      </c>
      <c r="G36" s="198">
        <f t="shared" si="9"/>
        <v>0</v>
      </c>
      <c r="H36" t="s">
        <v>299</v>
      </c>
    </row>
    <row r="37" spans="1:8" ht="15.75" thickBot="1" x14ac:dyDescent="0.3">
      <c r="A37" s="127" t="s">
        <v>113</v>
      </c>
      <c r="B37" s="62">
        <v>400</v>
      </c>
      <c r="C37" s="56">
        <f>+C22*$B37</f>
        <v>800</v>
      </c>
      <c r="D37" s="56">
        <f t="shared" ref="D37:G37" si="10">+D22*$B37</f>
        <v>1080</v>
      </c>
      <c r="E37" s="56">
        <f t="shared" si="10"/>
        <v>2479.9999999999995</v>
      </c>
      <c r="F37" s="56">
        <f t="shared" si="10"/>
        <v>1500</v>
      </c>
      <c r="G37" s="56">
        <f t="shared" si="10"/>
        <v>1500</v>
      </c>
    </row>
    <row r="38" spans="1:8" ht="15.75" thickBot="1" x14ac:dyDescent="0.3">
      <c r="A38" s="128"/>
      <c r="B38" s="161"/>
      <c r="C38" s="56"/>
      <c r="D38" s="56"/>
      <c r="E38" s="56"/>
      <c r="F38" s="56"/>
      <c r="G38" s="56"/>
    </row>
    <row r="39" spans="1:8" ht="15.75" thickBot="1" x14ac:dyDescent="0.3">
      <c r="A39" s="128" t="s">
        <v>114</v>
      </c>
      <c r="B39" s="56"/>
      <c r="C39" s="56">
        <f>SUM(C34:C37)</f>
        <v>2952.8</v>
      </c>
      <c r="D39" s="56">
        <f t="shared" ref="D39:G39" si="11">SUM(D34:D37)</f>
        <v>3653.8559999999993</v>
      </c>
      <c r="E39" s="56">
        <f t="shared" si="11"/>
        <v>5375.9480000000003</v>
      </c>
      <c r="F39" s="56">
        <f t="shared" si="11"/>
        <v>3912.0000000000005</v>
      </c>
      <c r="G39" s="56">
        <f t="shared" si="11"/>
        <v>7272.15</v>
      </c>
    </row>
    <row r="40" spans="1:8" ht="15.75" thickBot="1" x14ac:dyDescent="0.3">
      <c r="A40" s="127" t="s">
        <v>298</v>
      </c>
      <c r="B40" s="54"/>
      <c r="C40" s="55">
        <f>+C15+C22</f>
        <v>13.96</v>
      </c>
      <c r="D40" s="55">
        <f t="shared" ref="D40:G40" si="12">+D15+D22</f>
        <v>16.999199999999998</v>
      </c>
      <c r="E40" s="55">
        <f t="shared" si="12"/>
        <v>22.288599999999999</v>
      </c>
      <c r="F40" s="55">
        <f t="shared" si="12"/>
        <v>17.150000000000002</v>
      </c>
      <c r="G40" s="55">
        <f t="shared" si="12"/>
        <v>35.817499999999995</v>
      </c>
    </row>
  </sheetData>
  <sheetProtection sheet="1" objects="1" scenarios="1"/>
  <mergeCells count="1">
    <mergeCell ref="A3:A4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F&amp;V</vt:lpstr>
      <vt:lpstr>PIGGERY</vt:lpstr>
      <vt:lpstr>CATTLE</vt:lpstr>
      <vt:lpstr>SHEEP</vt:lpstr>
      <vt:lpstr>poultry</vt:lpstr>
      <vt:lpstr>Revised Pigs</vt:lpstr>
      <vt:lpstr>Revised Cattle</vt:lpstr>
      <vt:lpstr>Revised Chickens</vt:lpstr>
      <vt:lpstr>Revised Eggs</vt:lpstr>
      <vt:lpstr>Revised Sheep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SACEP-SPEC01</dc:creator>
  <cp:lastModifiedBy>simon</cp:lastModifiedBy>
  <cp:lastPrinted>2014-07-01T21:38:19Z</cp:lastPrinted>
  <dcterms:created xsi:type="dcterms:W3CDTF">2014-04-09T20:00:26Z</dcterms:created>
  <dcterms:modified xsi:type="dcterms:W3CDTF">2020-04-08T23:08:33Z</dcterms:modified>
</cp:coreProperties>
</file>